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16" windowHeight="8856" tabRatio="824"/>
  </bookViews>
  <sheets>
    <sheet name="Tehtäväaloittain" sheetId="1" r:id="rId1"/>
    <sheet name="10-40 lähetystyöntekijät" sheetId="2" r:id="rId2"/>
    <sheet name="Maanosittain" sheetId="3" r:id="rId3"/>
    <sheet name="Määräaikaiset ja Suomeen läh" sheetId="4" r:id="rId4"/>
  </sheets>
  <definedNames>
    <definedName name="_xlnm.Print_Area" localSheetId="1">'10-40 lähetystyöntekijät'!$A$1:$Q$51</definedName>
    <definedName name="_xlnm.Print_Area" localSheetId="2">Maanosittain!$A$1:$Q$39</definedName>
    <definedName name="_xlnm.Print_Area" localSheetId="3">'Määräaikaiset ja Suomeen läh'!$A$1:$W$41</definedName>
    <definedName name="_xlnm.Print_Area" localSheetId="0">Tehtäväaloittain!$A$1:$V$45</definedName>
  </definedNames>
  <calcPr calcId="145621"/>
</workbook>
</file>

<file path=xl/calcChain.xml><?xml version="1.0" encoding="utf-8"?>
<calcChain xmlns="http://schemas.openxmlformats.org/spreadsheetml/2006/main">
  <c r="L40" i="4" l="1"/>
  <c r="Q15" i="1" l="1"/>
  <c r="I6" i="3" l="1"/>
  <c r="O6" i="2"/>
  <c r="P6" i="2"/>
  <c r="Q6" i="2"/>
  <c r="Q36" i="1" l="1"/>
  <c r="O7" i="1" l="1"/>
  <c r="P7" i="1"/>
  <c r="Q7" i="1"/>
  <c r="Q35" i="1" l="1"/>
  <c r="P35" i="1"/>
  <c r="O35" i="1"/>
  <c r="Q24" i="1" l="1"/>
  <c r="P24" i="1"/>
  <c r="O24" i="1"/>
  <c r="Q11" i="1"/>
  <c r="Q33" i="1" l="1"/>
  <c r="O28" i="1"/>
  <c r="P28" i="1"/>
  <c r="O29" i="1"/>
  <c r="P29" i="1"/>
  <c r="I5" i="3" l="1"/>
  <c r="O20" i="2"/>
  <c r="O5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P15" i="2"/>
  <c r="P5" i="2"/>
  <c r="P7" i="2"/>
  <c r="P8" i="2"/>
  <c r="P9" i="2"/>
  <c r="P10" i="2"/>
  <c r="P11" i="2"/>
  <c r="P12" i="2"/>
  <c r="P13" i="2"/>
  <c r="P14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Q5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R36" i="2"/>
  <c r="B40" i="4" l="1"/>
  <c r="AC40" i="4"/>
  <c r="V40" i="4"/>
  <c r="J38" i="3"/>
  <c r="Q6" i="1"/>
  <c r="P6" i="1"/>
  <c r="O6" i="1"/>
  <c r="Q18" i="1"/>
  <c r="Q17" i="1"/>
  <c r="P18" i="1"/>
  <c r="P17" i="1"/>
  <c r="O18" i="1"/>
  <c r="O17" i="1"/>
  <c r="T37" i="1"/>
  <c r="S37" i="1"/>
  <c r="R37" i="1"/>
  <c r="M38" i="3" l="1"/>
  <c r="Q38" i="3"/>
  <c r="AE40" i="4"/>
  <c r="AB40" i="4"/>
  <c r="E40" i="4"/>
  <c r="F40" i="4"/>
  <c r="G40" i="4"/>
  <c r="H40" i="4"/>
  <c r="I40" i="4"/>
  <c r="J40" i="4"/>
  <c r="M40" i="4"/>
  <c r="O40" i="4"/>
  <c r="P40" i="4"/>
  <c r="Q40" i="4"/>
  <c r="R40" i="4"/>
  <c r="S40" i="4"/>
  <c r="T40" i="4"/>
  <c r="V37" i="1"/>
  <c r="AH37" i="1"/>
  <c r="X37" i="1"/>
  <c r="Y37" i="1"/>
  <c r="Z37" i="1"/>
  <c r="AA37" i="1"/>
  <c r="AB37" i="1"/>
  <c r="AC37" i="1"/>
  <c r="AD37" i="1"/>
  <c r="AE37" i="1"/>
  <c r="AF37" i="1"/>
  <c r="AG37" i="1"/>
  <c r="U37" i="1"/>
  <c r="H37" i="1"/>
  <c r="I37" i="1"/>
  <c r="J37" i="1"/>
  <c r="K37" i="1"/>
  <c r="L37" i="1"/>
  <c r="M37" i="1"/>
  <c r="N37" i="1"/>
  <c r="G37" i="1"/>
  <c r="F37" i="1"/>
  <c r="E37" i="1"/>
  <c r="D37" i="1"/>
  <c r="Y40" i="4"/>
  <c r="X40" i="4"/>
  <c r="Z40" i="4"/>
  <c r="W40" i="4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D40" i="4"/>
  <c r="C38" i="3"/>
  <c r="D38" i="3"/>
  <c r="E38" i="3"/>
  <c r="F38" i="3"/>
  <c r="G38" i="3"/>
  <c r="H38" i="3"/>
  <c r="B38" i="3"/>
  <c r="C36" i="2"/>
  <c r="D36" i="2"/>
  <c r="E36" i="2"/>
  <c r="F36" i="2"/>
  <c r="G36" i="2"/>
  <c r="H36" i="2"/>
  <c r="I36" i="2"/>
  <c r="J36" i="2"/>
  <c r="K36" i="2"/>
  <c r="L36" i="2"/>
  <c r="M36" i="2"/>
  <c r="N36" i="2"/>
  <c r="B36" i="2"/>
  <c r="O11" i="1"/>
  <c r="O33" i="1"/>
  <c r="P11" i="1"/>
  <c r="P33" i="1"/>
  <c r="C37" i="1"/>
  <c r="B37" i="1"/>
  <c r="K38" i="3"/>
  <c r="R38" i="3"/>
  <c r="S38" i="3"/>
  <c r="T38" i="3"/>
  <c r="U38" i="3"/>
  <c r="V38" i="3"/>
  <c r="W38" i="3"/>
  <c r="X38" i="3"/>
  <c r="P38" i="3"/>
  <c r="O38" i="3"/>
  <c r="N38" i="3"/>
  <c r="L38" i="3"/>
  <c r="C40" i="4"/>
  <c r="O19" i="1"/>
  <c r="Q9" i="1"/>
  <c r="Q10" i="1"/>
  <c r="Q12" i="1"/>
  <c r="Q13" i="1"/>
  <c r="Q14" i="1"/>
  <c r="Q16" i="1"/>
  <c r="Q19" i="1"/>
  <c r="Q20" i="1"/>
  <c r="Q21" i="1"/>
  <c r="Q22" i="1"/>
  <c r="Q23" i="1"/>
  <c r="Q26" i="1"/>
  <c r="Q27" i="1"/>
  <c r="Q28" i="1"/>
  <c r="Q29" i="1"/>
  <c r="Q30" i="1"/>
  <c r="Q31" i="1"/>
  <c r="Q32" i="1"/>
  <c r="Q34" i="1"/>
  <c r="P9" i="1"/>
  <c r="P10" i="1"/>
  <c r="P12" i="1"/>
  <c r="P13" i="1"/>
  <c r="P14" i="1"/>
  <c r="P15" i="1"/>
  <c r="P16" i="1"/>
  <c r="P19" i="1"/>
  <c r="P20" i="1"/>
  <c r="P21" i="1"/>
  <c r="P22" i="1"/>
  <c r="P23" i="1"/>
  <c r="P26" i="1"/>
  <c r="P27" i="1"/>
  <c r="P30" i="1"/>
  <c r="P31" i="1"/>
  <c r="P32" i="1"/>
  <c r="P34" i="1"/>
  <c r="P36" i="1"/>
  <c r="O9" i="1"/>
  <c r="O10" i="1"/>
  <c r="O12" i="1"/>
  <c r="O13" i="1"/>
  <c r="O14" i="1"/>
  <c r="O15" i="1"/>
  <c r="O16" i="1"/>
  <c r="O20" i="1"/>
  <c r="O21" i="1"/>
  <c r="O22" i="1"/>
  <c r="O23" i="1"/>
  <c r="O26" i="1"/>
  <c r="O27" i="1"/>
  <c r="O30" i="1"/>
  <c r="O31" i="1"/>
  <c r="O32" i="1"/>
  <c r="O34" i="1"/>
  <c r="O36" i="1"/>
  <c r="Q8" i="1"/>
  <c r="P8" i="1"/>
  <c r="O8" i="1"/>
  <c r="S36" i="2"/>
  <c r="W37" i="1"/>
  <c r="N40" i="4"/>
  <c r="AD40" i="4"/>
  <c r="Q36" i="2" l="1"/>
  <c r="P36" i="2"/>
  <c r="O36" i="2"/>
  <c r="I38" i="3"/>
  <c r="Q37" i="1"/>
  <c r="P37" i="1"/>
  <c r="O37" i="1"/>
</calcChain>
</file>

<file path=xl/sharedStrings.xml><?xml version="1.0" encoding="utf-8"?>
<sst xmlns="http://schemas.openxmlformats.org/spreadsheetml/2006/main" count="585" uniqueCount="181">
  <si>
    <t>SUOMEN LÄHETYSNEUVOSTO - FINSKA MISSIONSRÅDET</t>
  </si>
  <si>
    <t>Lähetystyöntekijöiden ja yhteisten lähetystyöntekijöiden kokonaismäärä järjestöittäin ja tehtäväaloittain</t>
  </si>
  <si>
    <t>JÄRJESTÖ/YHTEISÖ</t>
  </si>
  <si>
    <t>Ulk/Kot:</t>
  </si>
  <si>
    <t>Tehtäväalat:</t>
  </si>
  <si>
    <t>M/N:</t>
  </si>
  <si>
    <t>Ulk</t>
  </si>
  <si>
    <t>Kot</t>
  </si>
  <si>
    <t>Srk</t>
  </si>
  <si>
    <t>TS</t>
  </si>
  <si>
    <t>Mt</t>
  </si>
  <si>
    <t>Op</t>
  </si>
  <si>
    <t>Rk</t>
  </si>
  <si>
    <t>Ha</t>
  </si>
  <si>
    <t>Tk</t>
  </si>
  <si>
    <t>Muu</t>
  </si>
  <si>
    <t>M</t>
  </si>
  <si>
    <t>N</t>
  </si>
  <si>
    <t>Yht. (ulk+kot)</t>
  </si>
  <si>
    <t>Yht. (tehtävät)</t>
  </si>
  <si>
    <t>Yht. (M+N)</t>
  </si>
  <si>
    <t>Yht.läht.t.</t>
  </si>
  <si>
    <t>Yht.</t>
  </si>
  <si>
    <t>Yht.läht.työn.</t>
  </si>
  <si>
    <t>Avainmedia</t>
  </si>
  <si>
    <t>Fida International (*)</t>
  </si>
  <si>
    <t>Israelin Ystävät</t>
  </si>
  <si>
    <t>Kansan Raamattuseuran Säätiö (KRS)</t>
  </si>
  <si>
    <t>Patmos Lähetyssäätiö</t>
  </si>
  <si>
    <t>Suomen EV.-Lut Kirkko/ KLK (*)</t>
  </si>
  <si>
    <t>Suomen Lepralähetys</t>
  </si>
  <si>
    <t>Suomen Lut. Evankeliumiyhdistys (SLEY)</t>
  </si>
  <si>
    <t>Suomen Lähetyslentäjät (MAF Finland) (*)</t>
  </si>
  <si>
    <t>Suomen Lähetysseura (SLS)</t>
  </si>
  <si>
    <t>Suomen Metodistikirkko</t>
  </si>
  <si>
    <t>Suomen Pelastusarmeija</t>
  </si>
  <si>
    <t>Wycliffe Raamatunkääntäjät (*)</t>
  </si>
  <si>
    <t>Yhteensä</t>
  </si>
  <si>
    <t xml:space="preserve"> (*)= Järjestöllä on toisen SLN:n jäsenjärjestön kanssa yhteistyötä.</t>
  </si>
  <si>
    <t>10/40 ikkunan alueella toimivat lähetystyöntekijät</t>
  </si>
  <si>
    <t>Yht. (Ulk+kot)</t>
  </si>
  <si>
    <t>Yht (työalat)</t>
  </si>
  <si>
    <t>Yht. (N+M)</t>
  </si>
  <si>
    <t xml:space="preserve">Yht. </t>
  </si>
  <si>
    <t>Tk = Teknisen alan työ, Rk =Raamattu/ Kirjallisuus, Muu = Muu työ, M = Miehiä, N = Naisia, ES = Ei-suomal. työntekijä, luku ei sisälly lähettien kokonaismäärään</t>
  </si>
  <si>
    <t>(*)= Järjestöllä on toisen SLN:n jäsenjärjeston kanssa yhteislähettejä.</t>
  </si>
  <si>
    <t>Lähetystyöntekijät maanosittain</t>
  </si>
  <si>
    <t>Maanosat:</t>
  </si>
  <si>
    <t>Aasia</t>
  </si>
  <si>
    <t>Afrikka</t>
  </si>
  <si>
    <t>Oseania</t>
  </si>
  <si>
    <t>Lat.Amerikka</t>
  </si>
  <si>
    <t>P-Amerikka</t>
  </si>
  <si>
    <t>Eurooppa</t>
  </si>
  <si>
    <t>YHTEENSÄ</t>
  </si>
  <si>
    <t xml:space="preserve"> (*)= Järjestöllä on toisen SLN:n  jäsenjärjestön kanssa yhteistyötä.</t>
  </si>
  <si>
    <t>SUOMEEN ulkomaalaisten pariin lähetetyt,</t>
  </si>
  <si>
    <t>mutta alle 12 kk:n työkauteen sitoutuneet.</t>
  </si>
  <si>
    <t>lähetystyöntekijän statuksen saaneet lähetystyöntekijät.</t>
  </si>
  <si>
    <t>Suomen Pipliaseura (SPS)</t>
  </si>
  <si>
    <t xml:space="preserve">Suomen Pipliaseura (SPS) </t>
  </si>
  <si>
    <t>Suomen Baptistikirkko (*)</t>
  </si>
  <si>
    <r>
      <t>Selityksiä:</t>
    </r>
    <r>
      <rPr>
        <sz val="10"/>
        <rFont val="Arial"/>
        <family val="2"/>
      </rPr>
      <t xml:space="preserve">  Srk = Seurakunta- ja evankelioimistyö, Op = Opetustyö, TS = Terveydenhoito- ja sosiaalityö, Mt = Maa- ja metsätalous, Ha = Hallinnollinen työ, </t>
    </r>
  </si>
  <si>
    <t xml:space="preserve">Selityksiä: Srk= Seurakunta- ja evankelioimistyö, OP= Opetustyö, TS= Terveydenhoito- ja sosiaalityö, MT= Maa- ja metsätalous, HA-= Hallinnollinen työ, TK= Teknisenalan työ, </t>
  </si>
  <si>
    <t>Ulk = Ne lähetystyöntekijät, jotka ovat kunkin vuoden lopulla (31.12.) ulkomailla ja sitoutuneet vähintään 12 kuukauden työkauteen.</t>
  </si>
  <si>
    <t>Kot = Ne lähetystyöntekijät, jotka ovat palanneet kotimaahan viimeisen 24 kuukauden aikana ja ovat uudelleen lähdössä lähetystyöhön.</t>
  </si>
  <si>
    <t xml:space="preserve"> 31.12.2014</t>
  </si>
  <si>
    <t>sitoutuneet (ei sisälly kokonaistilastoon)</t>
  </si>
  <si>
    <t>MÄÄRÄAIKAISET, alle 6 kk:n työkauteen</t>
  </si>
  <si>
    <t>Järjestö</t>
  </si>
  <si>
    <t>Lähetysyhdistys Kylväjä</t>
  </si>
  <si>
    <t xml:space="preserve">Operaatio Mobilisaatio (OM) </t>
  </si>
  <si>
    <t>Yht. läht.t.</t>
  </si>
  <si>
    <t xml:space="preserve">Medialähetys Sanansaattajat (SANSA) </t>
  </si>
  <si>
    <t>Medialähetys Sanansaattajat (SANSA)</t>
  </si>
  <si>
    <t>Ortodoksisen kirkon kansainvälinen diakonia ja lähetystyö Filantropia ry</t>
  </si>
  <si>
    <t>Missionskyrkan i Finland MKF (*)</t>
  </si>
  <si>
    <t>Missionskyrkan i Finland (MKF) (*)</t>
  </si>
  <si>
    <t xml:space="preserve">Israelin Ystävät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</si>
  <si>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</si>
  <si>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</si>
  <si>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</si>
  <si>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</si>
  <si>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</si>
  <si>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</si>
  <si>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</si>
  <si>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</si>
  <si>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</si>
  <si>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</si>
  <si>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</si>
  <si>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</si>
  <si>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</si>
  <si>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</si>
  <si>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</si>
  <si>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</si>
  <si>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</si>
  <si>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</si>
  <si>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</si>
  <si>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</si>
  <si>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</si>
  <si>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</si>
  <si>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</si>
  <si>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Column26</t>
  </si>
  <si>
    <t>Column27</t>
  </si>
  <si>
    <t>Column133</t>
  </si>
  <si>
    <t>Column92</t>
  </si>
  <si>
    <t>Column152</t>
  </si>
  <si>
    <t>Column102</t>
  </si>
  <si>
    <t>Me</t>
  </si>
  <si>
    <t>Marttyyrien ääni - The Voice of the Martyrs (ent. Stefanus-Lähetys ry)</t>
  </si>
  <si>
    <t>Sv. Luth. Evangeliföreningen i Finland (SLEF) (*)</t>
  </si>
  <si>
    <t xml:space="preserve"> Sv. Luth. Evangeliföreningen i Finland (SLEF) (*)</t>
  </si>
  <si>
    <t>31.12.2015</t>
  </si>
  <si>
    <t>KOTIMAASTA käsin tehtävä,</t>
  </si>
  <si>
    <t xml:space="preserve">Suomen Luterilainen Evankeliumiyhdistys (SLEY) </t>
  </si>
  <si>
    <t xml:space="preserve">Suomen Lut. Evankeliumiyhdistys (SLEY) </t>
  </si>
  <si>
    <t>IRR-TV</t>
  </si>
  <si>
    <t>−</t>
  </si>
  <si>
    <t>(−)= ei tietoa</t>
  </si>
  <si>
    <t>31.12.2014</t>
  </si>
  <si>
    <t>31.12.2013</t>
  </si>
  <si>
    <t>31.12.2012</t>
  </si>
  <si>
    <t>31.12.2011</t>
  </si>
  <si>
    <t>31.12.2010</t>
  </si>
  <si>
    <t>Column136</t>
  </si>
  <si>
    <t>Column137</t>
  </si>
  <si>
    <t>Column138</t>
  </si>
  <si>
    <t>Column1362</t>
  </si>
  <si>
    <t>Column82</t>
  </si>
  <si>
    <t>Column154</t>
  </si>
  <si>
    <t xml:space="preserve"> ULKOMAILLE suuntautuva lähetystyö</t>
  </si>
  <si>
    <t>Suomen Vapaakirkko (SVK) (*)</t>
  </si>
  <si>
    <t>Suomen Vapaakirkko (SVK)  (*)</t>
  </si>
  <si>
    <t>Column28</t>
  </si>
  <si>
    <t>Column29</t>
  </si>
  <si>
    <t>Column31</t>
  </si>
  <si>
    <t>Column33</t>
  </si>
  <si>
    <t>Column34</t>
  </si>
  <si>
    <t>Column35</t>
  </si>
  <si>
    <t>Column36</t>
  </si>
  <si>
    <t>Column39</t>
  </si>
  <si>
    <t>Column40</t>
  </si>
  <si>
    <t>Column41</t>
  </si>
  <si>
    <t>Column42</t>
  </si>
  <si>
    <t>Column43</t>
  </si>
  <si>
    <t>31.12.2016</t>
  </si>
  <si>
    <t>Suomen Adventtikirkko (entinen jäsen, rivi jätetty vertailun takia)</t>
  </si>
  <si>
    <t>Suomen Adventtikirkko  (entinen jäsen, rivi jätetty vertailun takia)</t>
  </si>
  <si>
    <t>Finlands sv. metodistkyrka</t>
  </si>
  <si>
    <t>Finlands sv. Pingstmission r.f.</t>
  </si>
  <si>
    <t>YWAM Finland ry</t>
  </si>
  <si>
    <t xml:space="preserve">Avainmedia </t>
  </si>
  <si>
    <t xml:space="preserve"> - </t>
  </si>
  <si>
    <t>Yht. läht.t.= yhteisten lähettien määrä</t>
  </si>
  <si>
    <t>Column1363</t>
  </si>
  <si>
    <t>Column213</t>
  </si>
  <si>
    <t>Column83</t>
  </si>
  <si>
    <t>Column153</t>
  </si>
  <si>
    <t>Column1364</t>
  </si>
  <si>
    <t>Yht.läh.t.</t>
  </si>
  <si>
    <t>Suomen Helluntaiystävien Ulkolähetys ry (entinen jäsen, rivi jätetty vertailun takia)</t>
  </si>
  <si>
    <t xml:space="preserve"> -</t>
  </si>
  <si>
    <t xml:space="preserve">Huom: vuonna 2016 julkaistussa tilastossa alle 6 kk:n työkauteen sitoutuneiden määrä v. 2014 oli virheellinen (121). </t>
  </si>
  <si>
    <t xml:space="preserve">Lisäksi vuonna 2016 tilasto sisälsi virheellisen luvun (43) koskien kotimaasta käsin tehtävää, ulkomaille suuntautuvaa lähetystyötä. </t>
  </si>
  <si>
    <t>LÄHETYSTYÖN TILASTO 31.12.2018</t>
  </si>
  <si>
    <t>Column1365</t>
  </si>
  <si>
    <t>Column1366</t>
  </si>
  <si>
    <t>Column822</t>
  </si>
  <si>
    <t>Column1522</t>
  </si>
  <si>
    <t>Column212</t>
  </si>
  <si>
    <r>
      <t xml:space="preserve">RK= Raamattu/ Kirjallisuus, Me= Mediatyö, Muu= Muu työ, M= Miehiä, N= Naisia, </t>
    </r>
    <r>
      <rPr>
        <b/>
        <sz val="10"/>
        <rFont val="Arial"/>
        <family val="2"/>
      </rPr>
      <t>ES= Ei-suomal. työntekijä, luku ei sisälly lähettien kokonaismäärään.</t>
    </r>
    <r>
      <rPr>
        <sz val="10"/>
        <rFont val="Arial"/>
        <family val="2"/>
      </rPr>
      <t xml:space="preserve"> </t>
    </r>
  </si>
  <si>
    <t>Evankelinen lähetysyhdistys ELY</t>
  </si>
  <si>
    <t>Evankelinen Lähetysyhdistys ELY</t>
  </si>
  <si>
    <t>Missionskyrkan i Finland MKF</t>
  </si>
  <si>
    <t>Medialähetys Sanansaattajat  (SANSA) (*)</t>
  </si>
  <si>
    <t>Lähetysyhdistys Kylväjä (*)</t>
  </si>
  <si>
    <t>Suomen Lähetysseura (SLS) (*)</t>
  </si>
  <si>
    <t>Finlands sv. baptistsamfund</t>
  </si>
  <si>
    <t>Suomen ev.lut. Kansanlähetys (SEKL) (*)</t>
  </si>
  <si>
    <t>MÄÄRÄAIKAISET, v:n 2018, väh. 6 kk:n,</t>
  </si>
  <si>
    <t>10/40 ikkunassa toimivat työntekijät merkitään erikseen, vaikka he sisältyvät myös yllä mainittuihin tilastoihin. 10/40 ikkunaan kuuluvat maat (maat, joiden pinta-alasta vähintään puolet osuu leveyspiirien 10/40 väliin ns. 10/40 ikkunassa): Afganistan, Algeria, Bahrain, Bangladesh, Benin, Bhutan, Burkina Faso, Djibouti, Egypti, Etelä-Korea, Etiopia, Eritrea, Filippiinit. Gambia, Gibraltar, Guinea, Guinea-Bissau, Hongkong, Indonesia, Intia, Iran, Irak, Israel (ml. Gaza ja Länsiranta), Japani, Jemen, Jordania, Kambodzha, Kiina, Kreikka, Kuwait, Kypros, Laos, Libanon, Libya, Länsi-Sahara, Macau, Mali, Malta, Mauritania, Marokko, Myanmar, Nepal, Nigeria, Oman, Pakistan, Pohjois-Korea, Qatar, Saudi-Arabia, Senegal, Sri Lanka, Sudan, Syyria, Taiwan, Tadshikistan, Thaimaa, Tsad, Tunisia, Turkki, Turkmenistan, Vietnam ja Yhdistyneet arabiemiirikunnat (luettelo ei ole täydellinen).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</si>
</sst>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6" tint="-0.249977111117893"/>
      <name val="Arial"/>
      <family val="2"/>
    </font>
    <font>
      <sz val="10"/>
      <color theme="6"/>
      <name val="Arial"/>
      <family val="2"/>
    </font>
    <font>
      <sz val="10"/>
      <color theme="6" tint="-0.499984740745262"/>
      <name val="Arial"/>
      <family val="2"/>
    </font>
    <font>
      <b/>
      <sz val="10"/>
      <name val="Arial"/>
      <family val="2"/>
    </font>
    <font>
      <sz val="10"/>
      <color theme="5"/>
      <name val="Arial"/>
      <family val="2"/>
    </font>
    <font>
      <b/>
      <sz val="10"/>
      <color theme="5"/>
      <name val="Arial"/>
      <family val="2"/>
    </font>
    <font>
      <b/>
      <sz val="10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sz val="10"/>
      <color theme="7" tint="-0.499984740745262"/>
      <name val="Arial"/>
      <family val="2"/>
    </font>
    <font>
      <b/>
      <sz val="10"/>
      <color theme="7" tint="-0.499984740745262"/>
      <name val="Arial"/>
      <family val="2"/>
    </font>
    <font>
      <sz val="10"/>
      <color theme="7" tint="-0.49998474074526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2" borderId="0" xfId="0" applyFont="1" applyFill="1"/>
    <xf numFmtId="0" fontId="4" fillId="0" borderId="0" xfId="0" applyFont="1"/>
    <xf numFmtId="0" fontId="5" fillId="0" borderId="0" xfId="0" applyFont="1"/>
    <xf numFmtId="0" fontId="3" fillId="2" borderId="0" xfId="0" applyFont="1" applyFill="1"/>
    <xf numFmtId="0" fontId="3" fillId="0" borderId="0" xfId="0" applyFont="1" applyFill="1"/>
    <xf numFmtId="14" fontId="3" fillId="0" borderId="0" xfId="0" applyNumberFormat="1" applyFont="1" applyFill="1"/>
    <xf numFmtId="0" fontId="3" fillId="0" borderId="0" xfId="0" applyFont="1"/>
    <xf numFmtId="14" fontId="3" fillId="0" borderId="0" xfId="0" applyNumberFormat="1" applyFont="1"/>
    <xf numFmtId="0" fontId="2" fillId="0" borderId="0" xfId="0" applyFont="1" applyFill="1"/>
    <xf numFmtId="0" fontId="6" fillId="0" borderId="0" xfId="0" applyFont="1" applyFill="1"/>
    <xf numFmtId="14" fontId="6" fillId="0" borderId="0" xfId="0" applyNumberFormat="1" applyFont="1" applyFill="1"/>
    <xf numFmtId="14" fontId="3" fillId="0" borderId="0" xfId="0" applyNumberFormat="1" applyFont="1" applyFill="1" applyAlignment="1">
      <alignment horizontal="right"/>
    </xf>
    <xf numFmtId="0" fontId="3" fillId="0" borderId="0" xfId="0" applyFont="1"/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0" fillId="0" borderId="0" xfId="0" applyFont="1" applyFill="1"/>
    <xf numFmtId="0" fontId="5" fillId="5" borderId="0" xfId="0" applyFont="1" applyFill="1"/>
    <xf numFmtId="0" fontId="0" fillId="5" borderId="0" xfId="0" applyFont="1" applyFill="1"/>
    <xf numFmtId="0" fontId="0" fillId="0" borderId="0" xfId="0" applyFont="1"/>
    <xf numFmtId="0" fontId="4" fillId="5" borderId="0" xfId="0" applyFont="1" applyFill="1"/>
    <xf numFmtId="0" fontId="10" fillId="0" borderId="0" xfId="0" applyFont="1" applyFill="1"/>
    <xf numFmtId="0" fontId="0" fillId="3" borderId="0" xfId="0" applyFont="1" applyFill="1"/>
    <xf numFmtId="0" fontId="0" fillId="4" borderId="0" xfId="0" applyFont="1" applyFill="1"/>
    <xf numFmtId="0" fontId="0" fillId="2" borderId="0" xfId="0" applyFont="1" applyFill="1"/>
    <xf numFmtId="0" fontId="0" fillId="0" borderId="0" xfId="0" applyFont="1"/>
    <xf numFmtId="0" fontId="0" fillId="0" borderId="0" xfId="0"/>
    <xf numFmtId="0" fontId="0" fillId="0" borderId="0" xfId="0" applyFont="1"/>
    <xf numFmtId="0" fontId="6" fillId="0" borderId="0" xfId="0" applyFont="1"/>
    <xf numFmtId="0" fontId="11" fillId="0" borderId="0" xfId="0" applyFont="1"/>
    <xf numFmtId="0" fontId="11" fillId="0" borderId="0" xfId="0" applyFont="1" applyFill="1"/>
    <xf numFmtId="0" fontId="12" fillId="0" borderId="0" xfId="0" applyFont="1" applyFill="1"/>
    <xf numFmtId="0" fontId="3" fillId="0" borderId="2" xfId="0" applyFont="1" applyFill="1" applyBorder="1"/>
    <xf numFmtId="0" fontId="0" fillId="0" borderId="2" xfId="0" applyFont="1" applyFill="1" applyBorder="1"/>
    <xf numFmtId="0" fontId="2" fillId="2" borderId="0" xfId="0" applyFont="1" applyFill="1" applyAlignment="1"/>
    <xf numFmtId="0" fontId="2" fillId="0" borderId="0" xfId="0" applyFont="1" applyFill="1" applyAlignment="1"/>
    <xf numFmtId="0" fontId="3" fillId="5" borderId="0" xfId="0" applyFont="1" applyFill="1"/>
    <xf numFmtId="0" fontId="0" fillId="0" borderId="0" xfId="0"/>
    <xf numFmtId="0" fontId="3" fillId="4" borderId="0" xfId="0" applyFont="1" applyFill="1"/>
    <xf numFmtId="0" fontId="0" fillId="0" borderId="0" xfId="0" applyFont="1"/>
    <xf numFmtId="0" fontId="4" fillId="0" borderId="0" xfId="0" applyFont="1" applyFill="1"/>
    <xf numFmtId="0" fontId="5" fillId="0" borderId="0" xfId="0" applyFont="1" applyFill="1"/>
    <xf numFmtId="0" fontId="0" fillId="0" borderId="0" xfId="0" applyFill="1"/>
    <xf numFmtId="0" fontId="10" fillId="0" borderId="0" xfId="0" applyFont="1"/>
    <xf numFmtId="0" fontId="10" fillId="3" borderId="0" xfId="0" applyFont="1" applyFill="1"/>
    <xf numFmtId="0" fontId="10" fillId="2" borderId="0" xfId="0" applyFont="1" applyFill="1"/>
    <xf numFmtId="0" fontId="0" fillId="0" borderId="0" xfId="0" applyFont="1"/>
    <xf numFmtId="0" fontId="3" fillId="0" borderId="4" xfId="0" applyFont="1" applyBorder="1"/>
    <xf numFmtId="0" fontId="0" fillId="9" borderId="2" xfId="0" applyFont="1" applyFill="1" applyBorder="1"/>
    <xf numFmtId="0" fontId="3" fillId="9" borderId="2" xfId="0" applyFont="1" applyFill="1" applyBorder="1"/>
    <xf numFmtId="0" fontId="8" fillId="9" borderId="2" xfId="0" applyFont="1" applyFill="1" applyBorder="1" applyAlignment="1"/>
    <xf numFmtId="0" fontId="10" fillId="9" borderId="2" xfId="0" applyFont="1" applyFill="1" applyBorder="1"/>
    <xf numFmtId="0" fontId="0" fillId="0" borderId="0" xfId="0" applyFont="1"/>
    <xf numFmtId="0" fontId="0" fillId="0" borderId="5" xfId="0" applyFont="1" applyBorder="1"/>
    <xf numFmtId="0" fontId="0" fillId="0" borderId="6" xfId="0" applyFont="1" applyBorder="1"/>
    <xf numFmtId="0" fontId="11" fillId="3" borderId="0" xfId="0" applyFont="1" applyFill="1" applyBorder="1"/>
    <xf numFmtId="0" fontId="6" fillId="0" borderId="0" xfId="0" applyFont="1" applyFill="1" applyBorder="1"/>
    <xf numFmtId="14" fontId="3" fillId="6" borderId="2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10" fillId="0" borderId="0" xfId="0" applyFont="1" applyFill="1" applyBorder="1"/>
    <xf numFmtId="0" fontId="0" fillId="0" borderId="0" xfId="0" applyFont="1"/>
    <xf numFmtId="0" fontId="0" fillId="0" borderId="0" xfId="0" applyFont="1"/>
    <xf numFmtId="14" fontId="0" fillId="0" borderId="0" xfId="0" applyNumberFormat="1" applyFont="1" applyFill="1"/>
    <xf numFmtId="14" fontId="7" fillId="0" borderId="0" xfId="0" applyNumberFormat="1" applyFont="1" applyFill="1"/>
    <xf numFmtId="0" fontId="0" fillId="2" borderId="0" xfId="0" applyFont="1" applyFill="1" applyAlignment="1"/>
    <xf numFmtId="0" fontId="3" fillId="0" borderId="7" xfId="0" applyFont="1" applyFill="1" applyBorder="1"/>
    <xf numFmtId="0" fontId="8" fillId="0" borderId="7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NumberFormat="1" applyFont="1" applyFill="1"/>
    <xf numFmtId="0" fontId="0" fillId="0" borderId="7" xfId="0" applyFont="1" applyFill="1" applyBorder="1"/>
    <xf numFmtId="0" fontId="0" fillId="0" borderId="7" xfId="0" applyNumberFormat="1" applyFont="1" applyFill="1" applyBorder="1"/>
    <xf numFmtId="0" fontId="3" fillId="8" borderId="8" xfId="0" applyFont="1" applyFill="1" applyBorder="1"/>
    <xf numFmtId="0" fontId="0" fillId="0" borderId="10" xfId="0" applyFont="1" applyFill="1" applyBorder="1"/>
    <xf numFmtId="0" fontId="0" fillId="8" borderId="2" xfId="0" applyFont="1" applyFill="1" applyBorder="1"/>
    <xf numFmtId="0" fontId="0" fillId="0" borderId="0" xfId="0"/>
    <xf numFmtId="0" fontId="13" fillId="0" borderId="0" xfId="0" applyFont="1" applyFill="1" applyBorder="1"/>
    <xf numFmtId="0" fontId="13" fillId="0" borderId="0" xfId="0" applyFont="1" applyFill="1"/>
    <xf numFmtId="0" fontId="14" fillId="0" borderId="0" xfId="0" applyFont="1" applyFill="1"/>
    <xf numFmtId="0" fontId="13" fillId="0" borderId="0" xfId="0" applyNumberFormat="1" applyFont="1" applyFill="1" applyBorder="1"/>
    <xf numFmtId="0" fontId="13" fillId="0" borderId="0" xfId="0" applyNumberFormat="1" applyFont="1" applyFill="1"/>
    <xf numFmtId="0" fontId="14" fillId="0" borderId="0" xfId="0" applyFont="1"/>
    <xf numFmtId="14" fontId="15" fillId="0" borderId="0" xfId="0" applyNumberFormat="1" applyFont="1" applyFill="1"/>
    <xf numFmtId="0" fontId="15" fillId="0" borderId="0" xfId="0" applyFont="1" applyFill="1"/>
    <xf numFmtId="14" fontId="15" fillId="0" borderId="0" xfId="0" applyNumberFormat="1" applyFont="1"/>
    <xf numFmtId="0" fontId="15" fillId="0" borderId="0" xfId="0" applyFont="1" applyFill="1" applyAlignment="1">
      <alignment horizontal="left"/>
    </xf>
    <xf numFmtId="0" fontId="16" fillId="0" borderId="0" xfId="0" applyFont="1" applyFill="1"/>
    <xf numFmtId="1" fontId="16" fillId="0" borderId="0" xfId="0" applyNumberFormat="1" applyFont="1" applyFill="1"/>
    <xf numFmtId="0" fontId="15" fillId="0" borderId="4" xfId="0" applyFont="1" applyBorder="1"/>
    <xf numFmtId="14" fontId="15" fillId="0" borderId="0" xfId="0" applyNumberFormat="1" applyFont="1" applyFill="1" applyAlignment="1">
      <alignment horizontal="right"/>
    </xf>
    <xf numFmtId="0" fontId="15" fillId="0" borderId="0" xfId="0" applyFont="1"/>
    <xf numFmtId="0" fontId="15" fillId="9" borderId="0" xfId="0" applyFont="1" applyFill="1"/>
    <xf numFmtId="0" fontId="17" fillId="0" borderId="0" xfId="0" applyFont="1" applyFill="1"/>
    <xf numFmtId="14" fontId="15" fillId="6" borderId="2" xfId="0" applyNumberFormat="1" applyFont="1" applyFill="1" applyBorder="1"/>
    <xf numFmtId="14" fontId="15" fillId="7" borderId="1" xfId="0" applyNumberFormat="1" applyFont="1" applyFill="1" applyBorder="1" applyAlignment="1">
      <alignment horizontal="right"/>
    </xf>
    <xf numFmtId="0" fontId="15" fillId="0" borderId="2" xfId="0" applyFont="1" applyFill="1" applyBorder="1"/>
    <xf numFmtId="0" fontId="15" fillId="0" borderId="1" xfId="0" applyFont="1" applyBorder="1"/>
    <xf numFmtId="0" fontId="15" fillId="8" borderId="8" xfId="0" applyFont="1" applyFill="1" applyBorder="1"/>
    <xf numFmtId="0" fontId="15" fillId="9" borderId="9" xfId="0" applyFont="1" applyFill="1" applyBorder="1"/>
    <xf numFmtId="0" fontId="15" fillId="8" borderId="2" xfId="0" applyFont="1" applyFill="1" applyBorder="1"/>
    <xf numFmtId="0" fontId="15" fillId="9" borderId="2" xfId="0" applyFont="1" applyFill="1" applyBorder="1"/>
    <xf numFmtId="0" fontId="15" fillId="0" borderId="10" xfId="0" applyFont="1" applyFill="1" applyBorder="1"/>
    <xf numFmtId="0" fontId="15" fillId="0" borderId="3" xfId="0" applyFont="1" applyFill="1" applyBorder="1"/>
    <xf numFmtId="0" fontId="15" fillId="9" borderId="1" xfId="0" applyFont="1" applyFill="1" applyBorder="1"/>
    <xf numFmtId="0" fontId="15" fillId="0" borderId="1" xfId="0" applyFont="1" applyFill="1" applyBorder="1"/>
    <xf numFmtId="0" fontId="15" fillId="9" borderId="3" xfId="0" applyFont="1" applyFill="1" applyBorder="1"/>
    <xf numFmtId="0" fontId="15" fillId="9" borderId="2" xfId="0" applyFont="1" applyFill="1" applyBorder="1" applyAlignment="1"/>
    <xf numFmtId="0" fontId="16" fillId="9" borderId="2" xfId="0" applyFont="1" applyFill="1" applyBorder="1"/>
    <xf numFmtId="0" fontId="16" fillId="0" borderId="1" xfId="0" applyFont="1" applyFill="1" applyBorder="1"/>
    <xf numFmtId="0" fontId="0" fillId="0" borderId="0" xfId="0" applyFont="1"/>
    <xf numFmtId="0" fontId="0" fillId="0" borderId="0" xfId="0" applyFont="1" applyFill="1" applyBorder="1"/>
    <xf numFmtId="0" fontId="10" fillId="0" borderId="0" xfId="0" applyFont="1" applyFill="1" applyBorder="1" applyAlignment="1">
      <alignment horizontal="center"/>
    </xf>
    <xf numFmtId="46" fontId="10" fillId="0" borderId="0" xfId="0" applyNumberFormat="1" applyFont="1" applyFill="1" applyBorder="1"/>
    <xf numFmtId="0" fontId="0" fillId="0" borderId="0" xfId="0" applyAlignment="1">
      <alignment wrapText="1"/>
    </xf>
  </cellXfs>
  <cellStyles count="2">
    <cellStyle name="Normaali" xfId="0" builtinId="0"/>
    <cellStyle name="Normaali 2" xfId="1"/>
  </cellStyles>
  <dxfs count="1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\p.\k.\v\v\v\v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5:AH36" totalsRowShown="0" headerRowDxfId="116" dataDxfId="115">
  <autoFilter ref="A5:AH36"/>
  <tableColumns count="34">
    <tableColumn id="1" name="Column1" dataDxfId="114"/>
    <tableColumn id="2" name="Column2" dataDxfId="113"/>
    <tableColumn id="3" name="Column3" dataDxfId="112"/>
    <tableColumn id="4" name="Column4" dataDxfId="111"/>
    <tableColumn id="5" name="Column5" dataDxfId="110"/>
    <tableColumn id="6" name="Column6" dataDxfId="109"/>
    <tableColumn id="7" name="Column7" dataDxfId="108"/>
    <tableColumn id="8" name="Column8" dataDxfId="107"/>
    <tableColumn id="9" name="Column9" dataDxfId="106"/>
    <tableColumn id="10" name="Column10" dataDxfId="105"/>
    <tableColumn id="33" name="Column102" dataDxfId="104"/>
    <tableColumn id="11" name="Column11" dataDxfId="103"/>
    <tableColumn id="12" name="Column12" dataDxfId="102"/>
    <tableColumn id="13" name="Column13" dataDxfId="101"/>
    <tableColumn id="37" name="Column138" dataDxfId="100">
      <calculatedColumnFormula>SUM(B6:C6)</calculatedColumnFormula>
    </tableColumn>
    <tableColumn id="35" name="Column137" dataDxfId="99">
      <calculatedColumnFormula>SUM(D6:L6)</calculatedColumnFormula>
    </tableColumn>
    <tableColumn id="34" name="Column136" dataDxfId="98">
      <calculatedColumnFormula>SUM(M6:N6)</calculatedColumnFormula>
    </tableColumn>
    <tableColumn id="57" name="Column1364" dataDxfId="97"/>
    <tableColumn id="44" name="Column1365" dataDxfId="96"/>
    <tableColumn id="46" name="Column1366" dataDxfId="95"/>
    <tableColumn id="55" name="Column1363" dataDxfId="94"/>
    <tableColumn id="39" name="Column1362" dataDxfId="93"/>
    <tableColumn id="32" name="Column28" dataDxfId="92"/>
    <tableColumn id="36" name="Column29" dataDxfId="91"/>
    <tableColumn id="40" name="Column31" dataDxfId="90"/>
    <tableColumn id="42" name="Column33" dataDxfId="89"/>
    <tableColumn id="53" name="Column35" dataDxfId="88"/>
    <tableColumn id="43" name="Column34" dataDxfId="87"/>
    <tableColumn id="45" name="Column36" dataDxfId="86"/>
    <tableColumn id="48" name="Column39" dataDxfId="85"/>
    <tableColumn id="49" name="Column40" dataDxfId="84"/>
    <tableColumn id="50" name="Column41" dataDxfId="83"/>
    <tableColumn id="51" name="Column42" dataDxfId="82"/>
    <tableColumn id="52" name="Column43" dataDxfId="81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4:Y35" totalsRowShown="0" headerRowDxfId="80" dataDxfId="79">
  <autoFilter ref="A4:Y35"/>
  <tableColumns count="25">
    <tableColumn id="1" name="Column1" dataDxfId="78"/>
    <tableColumn id="2" name="Column2" dataDxfId="77"/>
    <tableColumn id="3" name="Column3" dataDxfId="76"/>
    <tableColumn id="4" name="Column4" dataDxfId="75"/>
    <tableColumn id="5" name="Column5" dataDxfId="74"/>
    <tableColumn id="6" name="Column6" dataDxfId="73"/>
    <tableColumn id="7" name="Column7" dataDxfId="72"/>
    <tableColumn id="8" name="Column8" dataDxfId="71"/>
    <tableColumn id="9" name="Column9" dataDxfId="70"/>
    <tableColumn id="10" name="Column10" dataDxfId="69"/>
    <tableColumn id="26" name="Column102" dataDxfId="68"/>
    <tableColumn id="11" name="Column11" dataDxfId="67"/>
    <tableColumn id="12" name="Column12" dataDxfId="66"/>
    <tableColumn id="13" name="Column13" dataDxfId="65"/>
    <tableColumn id="28" name="Column137" dataDxfId="64">
      <calculatedColumnFormula>SUM(B5:C5)</calculatedColumnFormula>
    </tableColumn>
    <tableColumn id="27" name="Column136" dataDxfId="63">
      <calculatedColumnFormula>SUM(D5:L5)</calculatedColumnFormula>
    </tableColumn>
    <tableColumn id="23" name="Column133" dataDxfId="62">
      <calculatedColumnFormula>SUM(M5:N5)</calculatedColumnFormula>
    </tableColumn>
    <tableColumn id="38" name="Column212" dataDxfId="61"/>
    <tableColumn id="39" name="Column213" dataDxfId="60"/>
    <tableColumn id="29" name="Column22" dataDxfId="59"/>
    <tableColumn id="30" name="Column23" dataDxfId="58"/>
    <tableColumn id="33" name="Column26" dataDxfId="57"/>
    <tableColumn id="34" name="Column27" dataDxfId="56"/>
    <tableColumn id="35" name="Column28" dataDxfId="55"/>
    <tableColumn id="36" name="Column29" dataDxfId="54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4:X37" totalsRowShown="0" headerRowDxfId="53" dataDxfId="52">
  <autoFilter ref="A4:X37"/>
  <tableColumns count="24">
    <tableColumn id="1" name="Column1" dataDxfId="51"/>
    <tableColumn id="2" name="Column2" dataDxfId="50"/>
    <tableColumn id="3" name="Column3" dataDxfId="49"/>
    <tableColumn id="4" name="Column4" dataDxfId="48"/>
    <tableColumn id="5" name="Column5" dataDxfId="47"/>
    <tableColumn id="6" name="Column6" dataDxfId="46"/>
    <tableColumn id="7" name="Column7" dataDxfId="45"/>
    <tableColumn id="8" name="Column8" dataDxfId="44"/>
    <tableColumn id="16" name="Column82" dataDxfId="43">
      <calculatedColumnFormula>SUM(A5:G5)</calculatedColumnFormula>
    </tableColumn>
    <tableColumn id="25" name="Column822" dataDxfId="42"/>
    <tableColumn id="24" name="Column83" dataDxfId="41"/>
    <tableColumn id="15" name="Column9" dataDxfId="40"/>
    <tableColumn id="9" name="Column92" dataDxfId="39"/>
    <tableColumn id="10" name="Column10" dataDxfId="38"/>
    <tableColumn id="11" name="Column11" dataDxfId="37"/>
    <tableColumn id="12" name="Column12" dataDxfId="36"/>
    <tableColumn id="13" name="Column13" dataDxfId="35"/>
    <tableColumn id="17" name="Column15" dataDxfId="34"/>
    <tableColumn id="18" name="Column16" dataDxfId="33"/>
    <tableColumn id="19" name="Column17" dataDxfId="32"/>
    <tableColumn id="20" name="Column18" dataDxfId="31"/>
    <tableColumn id="21" name="Column19" dataDxfId="30"/>
    <tableColumn id="22" name="Column20" dataDxfId="29"/>
    <tableColumn id="23" name="Column21" dataDxfId="28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4:Z40" totalsRowShown="0" headerRowDxfId="27" dataDxfId="26">
  <autoFilter ref="A4:Z40"/>
  <tableColumns count="26">
    <tableColumn id="1" name="Column1" dataDxfId="25"/>
    <tableColumn id="22" name="Column19" dataDxfId="24"/>
    <tableColumn id="18" name="Column18" dataDxfId="23"/>
    <tableColumn id="17" name="Column17" dataDxfId="22"/>
    <tableColumn id="2" name="Column2" dataDxfId="21"/>
    <tableColumn id="3" name="Column3" dataDxfId="20"/>
    <tableColumn id="4" name="Column4" dataDxfId="19"/>
    <tableColumn id="5" name="Column5" dataDxfId="18"/>
    <tableColumn id="6" name="Column6" dataDxfId="17"/>
    <tableColumn id="7" name="Column7" dataDxfId="16"/>
    <tableColumn id="8" name="Column8" dataDxfId="15"/>
    <tableColumn id="26" name="Column83" dataDxfId="14"/>
    <tableColumn id="21" name="Column82" dataDxfId="13"/>
    <tableColumn id="9" name="Column9" dataDxfId="12"/>
    <tableColumn id="19" name="Column92" dataDxfId="11"/>
    <tableColumn id="10" name="Column10" dataDxfId="10"/>
    <tableColumn id="11" name="Column11" dataDxfId="9"/>
    <tableColumn id="12" name="Column12" dataDxfId="8"/>
    <tableColumn id="13" name="Column13" dataDxfId="7"/>
    <tableColumn id="14" name="Column14" dataDxfId="6"/>
    <tableColumn id="15" name="Column15" dataDxfId="5"/>
    <tableColumn id="27" name="Column153" dataDxfId="4"/>
    <tableColumn id="23" name="Column154" dataDxfId="3"/>
    <tableColumn id="20" name="Column152" dataDxfId="2"/>
    <tableColumn id="24" name="Column1522" dataDxfId="1"/>
    <tableColumn id="16" name="Column16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Custom 5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B9AD8D"/>
      </a:accent1>
      <a:accent2>
        <a:srgbClr val="FF0000"/>
      </a:accent2>
      <a:accent3>
        <a:srgbClr val="0C0C0C"/>
      </a:accent3>
      <a:accent4>
        <a:srgbClr val="A5A5A5"/>
      </a:accent4>
      <a:accent5>
        <a:srgbClr val="D8D8D8"/>
      </a:accent5>
      <a:accent6>
        <a:srgbClr val="363636"/>
      </a:accent6>
      <a:hlink>
        <a:srgbClr val="C1038F"/>
      </a:hlink>
      <a:folHlink>
        <a:srgbClr val="BA690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Q57"/>
  <sheetViews>
    <sheetView tabSelected="1" zoomScale="70" zoomScaleNormal="70" workbookViewId="0">
      <pane xSplit="1" topLeftCell="B1" activePane="topRight" state="frozen"/>
      <selection pane="topRight" activeCell="A51" sqref="A51"/>
    </sheetView>
  </sheetViews>
  <sheetFormatPr defaultColWidth="8.88671875" defaultRowHeight="13.2" x14ac:dyDescent="0.25"/>
  <cols>
    <col min="1" max="1" width="70.33203125" style="21" customWidth="1"/>
    <col min="2" max="9" width="10.109375" style="21" customWidth="1"/>
    <col min="10" max="14" width="11.109375" style="21" customWidth="1"/>
    <col min="15" max="17" width="11.109375" style="29" customWidth="1"/>
    <col min="18" max="18" width="11.109375" style="54" customWidth="1"/>
    <col min="19" max="20" width="10" style="63" customWidth="1"/>
    <col min="21" max="21" width="10" style="54" customWidth="1"/>
    <col min="22" max="22" width="10" style="29" customWidth="1"/>
    <col min="23" max="26" width="10" style="21" customWidth="1"/>
    <col min="27" max="27" width="10" style="48" customWidth="1"/>
    <col min="28" max="28" width="10" style="21" customWidth="1"/>
    <col min="29" max="33" width="8.88671875" style="21"/>
    <col min="34" max="34" width="9.5546875" style="21" customWidth="1"/>
    <col min="35" max="16384" width="8.88671875" style="21"/>
  </cols>
  <sheetData>
    <row r="1" spans="1:277" s="24" customFormat="1" x14ac:dyDescent="0.25">
      <c r="A1" s="23" t="s">
        <v>0</v>
      </c>
      <c r="B1" s="58"/>
      <c r="C1" s="58"/>
      <c r="D1" s="58"/>
      <c r="E1" s="58" t="s">
        <v>164</v>
      </c>
      <c r="F1" s="58"/>
      <c r="G1" s="58"/>
      <c r="H1" s="58"/>
      <c r="I1" s="58" t="s">
        <v>1</v>
      </c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60"/>
      <c r="X1" s="60"/>
      <c r="Y1" s="60"/>
      <c r="Z1" s="60"/>
      <c r="AA1" s="60"/>
      <c r="AB1" s="60"/>
      <c r="AC1" s="57"/>
      <c r="AD1" s="57"/>
      <c r="AE1" s="57"/>
      <c r="AF1" s="57"/>
      <c r="AG1" s="57"/>
      <c r="AH1" s="57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</row>
    <row r="2" spans="1:277" s="24" customFormat="1" x14ac:dyDescent="0.25">
      <c r="A2" s="23"/>
      <c r="B2" s="58"/>
      <c r="C2" s="58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0"/>
      <c r="X2" s="60"/>
      <c r="Y2" s="60"/>
      <c r="Z2" s="60"/>
      <c r="AA2" s="60"/>
      <c r="AB2" s="60"/>
      <c r="AC2" s="57"/>
      <c r="AD2" s="57"/>
      <c r="AE2" s="57"/>
      <c r="AF2" s="57"/>
      <c r="AG2" s="57"/>
      <c r="AH2" s="57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</row>
    <row r="3" spans="1:277" s="30" customFormat="1" x14ac:dyDescent="0.25">
      <c r="A3" s="10" t="s">
        <v>2</v>
      </c>
      <c r="B3" s="58" t="s">
        <v>3</v>
      </c>
      <c r="C3" s="58"/>
      <c r="D3" s="58" t="s">
        <v>4</v>
      </c>
      <c r="E3" s="58"/>
      <c r="F3" s="58"/>
      <c r="G3" s="58"/>
      <c r="H3" s="58"/>
      <c r="I3" s="58"/>
      <c r="J3" s="58"/>
      <c r="K3" s="58"/>
      <c r="L3" s="58"/>
      <c r="M3" s="58" t="s">
        <v>5</v>
      </c>
      <c r="N3" s="58"/>
      <c r="O3" s="58">
        <v>2018</v>
      </c>
      <c r="P3" s="58">
        <v>2018</v>
      </c>
      <c r="Q3" s="58">
        <v>2018</v>
      </c>
      <c r="R3" s="58">
        <v>2018</v>
      </c>
      <c r="S3" s="82">
        <v>2017</v>
      </c>
      <c r="T3" s="82">
        <v>2017</v>
      </c>
      <c r="U3" s="82">
        <v>2016</v>
      </c>
      <c r="V3" s="82">
        <v>2016</v>
      </c>
      <c r="W3" s="82">
        <v>2015</v>
      </c>
      <c r="X3" s="85">
        <v>2015</v>
      </c>
      <c r="Y3" s="85">
        <v>2014</v>
      </c>
      <c r="Z3" s="85">
        <v>2014</v>
      </c>
      <c r="AA3" s="85">
        <v>2013</v>
      </c>
      <c r="AB3" s="85">
        <v>2013</v>
      </c>
      <c r="AC3" s="82">
        <v>2012</v>
      </c>
      <c r="AD3" s="82">
        <v>2012</v>
      </c>
      <c r="AE3" s="82">
        <v>2011</v>
      </c>
      <c r="AF3" s="82">
        <v>2011</v>
      </c>
      <c r="AG3" s="82">
        <v>2010</v>
      </c>
      <c r="AH3" s="82">
        <v>2010</v>
      </c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</row>
    <row r="4" spans="1:277" s="30" customFormat="1" x14ac:dyDescent="0.25">
      <c r="A4" s="10"/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108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159</v>
      </c>
      <c r="S4" s="83" t="s">
        <v>22</v>
      </c>
      <c r="T4" s="83" t="s">
        <v>159</v>
      </c>
      <c r="U4" s="83" t="s">
        <v>43</v>
      </c>
      <c r="V4" s="83" t="s">
        <v>72</v>
      </c>
      <c r="W4" s="83" t="s">
        <v>22</v>
      </c>
      <c r="X4" s="83" t="s">
        <v>72</v>
      </c>
      <c r="Y4" s="83" t="s">
        <v>43</v>
      </c>
      <c r="Z4" s="83" t="s">
        <v>72</v>
      </c>
      <c r="AA4" s="83" t="s">
        <v>43</v>
      </c>
      <c r="AB4" s="83" t="s">
        <v>21</v>
      </c>
      <c r="AC4" s="83" t="s">
        <v>43</v>
      </c>
      <c r="AD4" s="83" t="s">
        <v>21</v>
      </c>
      <c r="AE4" s="83" t="s">
        <v>22</v>
      </c>
      <c r="AF4" s="83" t="s">
        <v>23</v>
      </c>
      <c r="AG4" s="83" t="s">
        <v>22</v>
      </c>
      <c r="AH4" s="83" t="s">
        <v>23</v>
      </c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</row>
    <row r="5" spans="1:277" ht="12.75" hidden="1" customHeight="1" x14ac:dyDescent="0.25">
      <c r="A5" s="18" t="s">
        <v>79</v>
      </c>
      <c r="B5" s="32" t="s">
        <v>80</v>
      </c>
      <c r="C5" s="32" t="s">
        <v>81</v>
      </c>
      <c r="D5" s="32" t="s">
        <v>82</v>
      </c>
      <c r="E5" s="32" t="s">
        <v>83</v>
      </c>
      <c r="F5" s="32" t="s">
        <v>84</v>
      </c>
      <c r="G5" s="32" t="s">
        <v>85</v>
      </c>
      <c r="H5" s="32" t="s">
        <v>86</v>
      </c>
      <c r="I5" s="32" t="s">
        <v>87</v>
      </c>
      <c r="J5" s="32" t="s">
        <v>88</v>
      </c>
      <c r="K5" s="32" t="s">
        <v>107</v>
      </c>
      <c r="L5" s="32" t="s">
        <v>89</v>
      </c>
      <c r="M5" s="32" t="s">
        <v>90</v>
      </c>
      <c r="N5" s="32" t="s">
        <v>91</v>
      </c>
      <c r="O5" s="32" t="s">
        <v>126</v>
      </c>
      <c r="P5" s="32" t="s">
        <v>125</v>
      </c>
      <c r="Q5" s="32" t="s">
        <v>124</v>
      </c>
      <c r="R5" s="32" t="s">
        <v>158</v>
      </c>
      <c r="S5" s="84" t="s">
        <v>165</v>
      </c>
      <c r="T5" s="84" t="s">
        <v>166</v>
      </c>
      <c r="U5" s="84" t="s">
        <v>154</v>
      </c>
      <c r="V5" s="84" t="s">
        <v>127</v>
      </c>
      <c r="W5" s="84" t="s">
        <v>133</v>
      </c>
      <c r="X5" s="84" t="s">
        <v>134</v>
      </c>
      <c r="Y5" s="84" t="s">
        <v>135</v>
      </c>
      <c r="Z5" s="84" t="s">
        <v>136</v>
      </c>
      <c r="AA5" s="84" t="s">
        <v>138</v>
      </c>
      <c r="AB5" s="84" t="s">
        <v>137</v>
      </c>
      <c r="AC5" s="84" t="s">
        <v>139</v>
      </c>
      <c r="AD5" s="84" t="s">
        <v>140</v>
      </c>
      <c r="AE5" s="84" t="s">
        <v>141</v>
      </c>
      <c r="AF5" s="84" t="s">
        <v>142</v>
      </c>
      <c r="AG5" s="84" t="s">
        <v>143</v>
      </c>
      <c r="AH5" s="84" t="s">
        <v>144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</row>
    <row r="6" spans="1:277" s="20" customFormat="1" x14ac:dyDescent="0.25">
      <c r="A6" s="5" t="s">
        <v>24</v>
      </c>
      <c r="B6" s="5">
        <v>1</v>
      </c>
      <c r="C6" s="5">
        <v>0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1</v>
      </c>
      <c r="N6" s="5">
        <v>0</v>
      </c>
      <c r="O6" s="5">
        <f>SUM(B6:C6)</f>
        <v>1</v>
      </c>
      <c r="P6" s="5">
        <f>SUM(D6:L6)</f>
        <v>1</v>
      </c>
      <c r="Q6" s="5">
        <f>SUM(M6:N6)</f>
        <v>1</v>
      </c>
      <c r="R6" s="5">
        <v>0</v>
      </c>
      <c r="S6" s="84" t="s">
        <v>161</v>
      </c>
      <c r="T6" s="84" t="s">
        <v>161</v>
      </c>
      <c r="U6" s="84" t="s">
        <v>152</v>
      </c>
      <c r="V6" s="84" t="s">
        <v>152</v>
      </c>
      <c r="W6" s="84">
        <v>2</v>
      </c>
      <c r="X6" s="84">
        <v>0</v>
      </c>
      <c r="Y6" s="84">
        <v>2</v>
      </c>
      <c r="Z6" s="84">
        <v>0</v>
      </c>
      <c r="AA6" s="84">
        <v>1</v>
      </c>
      <c r="AB6" s="84">
        <v>0</v>
      </c>
      <c r="AC6" s="84">
        <v>2</v>
      </c>
      <c r="AD6" s="84">
        <v>0</v>
      </c>
      <c r="AE6" s="84">
        <v>2</v>
      </c>
      <c r="AF6" s="84">
        <v>0</v>
      </c>
      <c r="AG6" s="84">
        <v>3</v>
      </c>
      <c r="AH6" s="84">
        <v>0</v>
      </c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</row>
    <row r="7" spans="1:277" s="20" customFormat="1" x14ac:dyDescent="0.25">
      <c r="A7" s="18" t="s">
        <v>171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75">
        <f>SUM(B7:C7)</f>
        <v>0</v>
      </c>
      <c r="P7" s="75">
        <f>SUM(D7:L7)</f>
        <v>0</v>
      </c>
      <c r="Q7" s="75">
        <f>SUM(M7:N7)</f>
        <v>0</v>
      </c>
      <c r="R7" s="18">
        <v>0</v>
      </c>
      <c r="S7" s="84" t="s">
        <v>161</v>
      </c>
      <c r="T7" s="84" t="s">
        <v>161</v>
      </c>
      <c r="U7" s="84" t="s">
        <v>161</v>
      </c>
      <c r="V7" s="84" t="s">
        <v>161</v>
      </c>
      <c r="W7" s="84" t="s">
        <v>161</v>
      </c>
      <c r="X7" s="84" t="s">
        <v>161</v>
      </c>
      <c r="Y7" s="84" t="s">
        <v>161</v>
      </c>
      <c r="Z7" s="84" t="s">
        <v>161</v>
      </c>
      <c r="AA7" s="84" t="s">
        <v>161</v>
      </c>
      <c r="AB7" s="84" t="s">
        <v>161</v>
      </c>
      <c r="AC7" s="84" t="s">
        <v>161</v>
      </c>
      <c r="AD7" s="84" t="s">
        <v>161</v>
      </c>
      <c r="AE7" s="84" t="s">
        <v>161</v>
      </c>
      <c r="AF7" s="84" t="s">
        <v>161</v>
      </c>
      <c r="AG7" s="84" t="s">
        <v>161</v>
      </c>
      <c r="AH7" s="84" t="s">
        <v>161</v>
      </c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</row>
    <row r="8" spans="1:277" s="20" customFormat="1" x14ac:dyDescent="0.25">
      <c r="A8" s="5" t="s">
        <v>25</v>
      </c>
      <c r="B8" s="5">
        <v>144</v>
      </c>
      <c r="C8" s="5">
        <v>43</v>
      </c>
      <c r="D8" s="5">
        <v>85</v>
      </c>
      <c r="E8" s="5">
        <v>7</v>
      </c>
      <c r="F8" s="5">
        <v>0</v>
      </c>
      <c r="G8" s="5">
        <v>8</v>
      </c>
      <c r="H8" s="5">
        <v>0</v>
      </c>
      <c r="I8" s="5">
        <v>11</v>
      </c>
      <c r="J8" s="5">
        <v>28</v>
      </c>
      <c r="K8" s="5">
        <v>0</v>
      </c>
      <c r="L8" s="5">
        <v>48</v>
      </c>
      <c r="M8" s="5">
        <v>86</v>
      </c>
      <c r="N8" s="5">
        <v>101</v>
      </c>
      <c r="O8" s="5">
        <f>SUM(Table1[[#This Row],[Column2]:[Column3]])</f>
        <v>187</v>
      </c>
      <c r="P8" s="5">
        <f>SUM(Table1[[#This Row],[Column4]:[Column11]])</f>
        <v>187</v>
      </c>
      <c r="Q8" s="5">
        <f>SUM(M8:N8)</f>
        <v>187</v>
      </c>
      <c r="R8" s="5">
        <v>9</v>
      </c>
      <c r="S8" s="84">
        <v>207</v>
      </c>
      <c r="T8" s="84">
        <v>7</v>
      </c>
      <c r="U8" s="84">
        <v>205</v>
      </c>
      <c r="V8" s="84">
        <v>7</v>
      </c>
      <c r="W8" s="84">
        <v>208</v>
      </c>
      <c r="X8" s="84">
        <v>10</v>
      </c>
      <c r="Y8" s="84">
        <v>229</v>
      </c>
      <c r="Z8" s="84">
        <v>12</v>
      </c>
      <c r="AA8" s="84">
        <v>238</v>
      </c>
      <c r="AB8" s="84">
        <v>11</v>
      </c>
      <c r="AC8" s="84">
        <v>33</v>
      </c>
      <c r="AD8" s="84">
        <v>11</v>
      </c>
      <c r="AE8" s="84">
        <v>247</v>
      </c>
      <c r="AF8" s="84">
        <v>0</v>
      </c>
      <c r="AG8" s="84">
        <v>264</v>
      </c>
      <c r="AH8" s="84">
        <v>10</v>
      </c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</row>
    <row r="9" spans="1:277" s="20" customFormat="1" x14ac:dyDescent="0.25">
      <c r="A9" s="18" t="s">
        <v>177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f>SUM(Table1[[#This Row],[Column2]:[Column3]])</f>
        <v>0</v>
      </c>
      <c r="P9" s="5">
        <f>SUM(Table1[[#This Row],[Column4]:[Column11]])</f>
        <v>0</v>
      </c>
      <c r="Q9" s="5">
        <f t="shared" ref="Q9:Q34" si="0">SUM(M9:N9)</f>
        <v>0</v>
      </c>
      <c r="R9" s="5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84">
        <v>235</v>
      </c>
      <c r="AD9" s="84">
        <v>0</v>
      </c>
      <c r="AE9" s="84">
        <v>2</v>
      </c>
      <c r="AF9" s="84">
        <v>0</v>
      </c>
      <c r="AG9" s="84">
        <v>0</v>
      </c>
      <c r="AH9" s="84">
        <v>0</v>
      </c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</row>
    <row r="10" spans="1:277" s="20" customFormat="1" ht="12.75" customHeight="1" x14ac:dyDescent="0.25">
      <c r="A10" s="5" t="s">
        <v>148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f>SUM(Table1[[#This Row],[Column2]:[Column3]])</f>
        <v>0</v>
      </c>
      <c r="P10" s="5">
        <f>SUM(Table1[[#This Row],[Column4]:[Column11]])</f>
        <v>0</v>
      </c>
      <c r="Q10" s="5">
        <f t="shared" si="0"/>
        <v>0</v>
      </c>
      <c r="R10" s="5">
        <v>1</v>
      </c>
      <c r="S10" s="84">
        <v>0</v>
      </c>
      <c r="T10" s="84">
        <v>0</v>
      </c>
      <c r="U10" s="84">
        <v>1</v>
      </c>
      <c r="V10" s="84">
        <v>0</v>
      </c>
      <c r="W10" s="84">
        <v>1</v>
      </c>
      <c r="X10" s="84">
        <v>0</v>
      </c>
      <c r="Y10" s="84">
        <v>2</v>
      </c>
      <c r="Z10" s="84">
        <v>0</v>
      </c>
      <c r="AA10" s="84">
        <v>1</v>
      </c>
      <c r="AB10" s="84">
        <v>0</v>
      </c>
      <c r="AC10" s="84">
        <v>2</v>
      </c>
      <c r="AD10" s="84">
        <v>2</v>
      </c>
      <c r="AE10" s="84">
        <v>0</v>
      </c>
      <c r="AF10" s="84">
        <v>0</v>
      </c>
      <c r="AG10" s="84">
        <v>0</v>
      </c>
      <c r="AH10" s="84">
        <v>0</v>
      </c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</row>
    <row r="11" spans="1:277" s="38" customFormat="1" x14ac:dyDescent="0.25">
      <c r="A11" s="5" t="s">
        <v>149</v>
      </c>
      <c r="B11" s="70">
        <v>3</v>
      </c>
      <c r="C11" s="70">
        <v>2</v>
      </c>
      <c r="D11" s="70">
        <v>2</v>
      </c>
      <c r="E11" s="70">
        <v>0</v>
      </c>
      <c r="F11" s="70">
        <v>1</v>
      </c>
      <c r="G11" s="70">
        <v>1</v>
      </c>
      <c r="H11" s="70">
        <v>0</v>
      </c>
      <c r="I11" s="70">
        <v>0</v>
      </c>
      <c r="J11" s="70">
        <v>0</v>
      </c>
      <c r="K11" s="70">
        <v>1</v>
      </c>
      <c r="L11" s="70">
        <v>0</v>
      </c>
      <c r="M11" s="70">
        <v>2</v>
      </c>
      <c r="N11" s="70">
        <v>3</v>
      </c>
      <c r="O11" s="5">
        <f>SUM(Table1[[#This Row],[Column2]:[Column3]])</f>
        <v>5</v>
      </c>
      <c r="P11" s="5">
        <f>SUM(Table1[[#This Row],[Column4]:[Column11]])</f>
        <v>5</v>
      </c>
      <c r="Q11" s="5">
        <f t="shared" si="0"/>
        <v>5</v>
      </c>
      <c r="R11" s="5">
        <v>0</v>
      </c>
      <c r="S11" s="84">
        <v>5</v>
      </c>
      <c r="T11" s="84">
        <v>0</v>
      </c>
      <c r="U11" s="84">
        <v>5</v>
      </c>
      <c r="V11" s="84">
        <v>0</v>
      </c>
      <c r="W11" s="84">
        <v>4</v>
      </c>
      <c r="X11" s="84">
        <v>0</v>
      </c>
      <c r="Y11" s="84">
        <v>5</v>
      </c>
      <c r="Z11" s="84">
        <v>0</v>
      </c>
      <c r="AA11" s="84">
        <v>5</v>
      </c>
      <c r="AB11" s="84">
        <v>0</v>
      </c>
      <c r="AC11" s="84">
        <v>0</v>
      </c>
      <c r="AD11" s="84">
        <v>0</v>
      </c>
      <c r="AE11" s="84">
        <v>6</v>
      </c>
      <c r="AF11" s="84">
        <v>0</v>
      </c>
      <c r="AG11" s="84">
        <v>6</v>
      </c>
      <c r="AH11" s="84">
        <v>0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</row>
    <row r="12" spans="1:277" s="38" customFormat="1" x14ac:dyDescent="0.25">
      <c r="A12" s="5" t="s">
        <v>116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f>SUM(Table1[[#This Row],[Column2]:[Column3]])</f>
        <v>0</v>
      </c>
      <c r="P12" s="5">
        <f>SUM(Table1[[#This Row],[Column4]:[Column11]])</f>
        <v>0</v>
      </c>
      <c r="Q12" s="5">
        <f t="shared" si="0"/>
        <v>0</v>
      </c>
      <c r="R12" s="5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6</v>
      </c>
      <c r="AD12" s="84">
        <v>0</v>
      </c>
      <c r="AE12" s="84">
        <v>0</v>
      </c>
      <c r="AF12" s="84">
        <v>0</v>
      </c>
      <c r="AG12" s="84">
        <v>0</v>
      </c>
      <c r="AH12" s="84">
        <v>0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</row>
    <row r="13" spans="1:277" s="74" customFormat="1" x14ac:dyDescent="0.25">
      <c r="A13" s="18" t="s">
        <v>78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f>SUM(Table1[[#This Row],[Column2]:[Column3]])</f>
        <v>0</v>
      </c>
      <c r="P13" s="18">
        <f>SUM(Table1[[#This Row],[Column4]:[Column11]])</f>
        <v>0</v>
      </c>
      <c r="Q13" s="18">
        <f t="shared" si="0"/>
        <v>0</v>
      </c>
      <c r="R13" s="18">
        <v>0</v>
      </c>
      <c r="S13" s="84">
        <v>0</v>
      </c>
      <c r="T13" s="84">
        <v>0</v>
      </c>
      <c r="U13" s="84">
        <v>20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  <c r="AG13" s="84">
        <v>0</v>
      </c>
      <c r="AH13" s="84">
        <v>0</v>
      </c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</row>
    <row r="14" spans="1:277" s="40" customFormat="1" x14ac:dyDescent="0.25">
      <c r="A14" s="18" t="s">
        <v>27</v>
      </c>
      <c r="B14" s="72">
        <v>11</v>
      </c>
      <c r="C14" s="72">
        <v>0</v>
      </c>
      <c r="D14" s="72">
        <v>10</v>
      </c>
      <c r="E14" s="72">
        <v>0</v>
      </c>
      <c r="F14" s="72">
        <v>0</v>
      </c>
      <c r="G14" s="72">
        <v>0</v>
      </c>
      <c r="H14" s="72">
        <v>0</v>
      </c>
      <c r="I14" s="72">
        <v>1</v>
      </c>
      <c r="J14" s="72">
        <v>0</v>
      </c>
      <c r="K14" s="72">
        <v>0</v>
      </c>
      <c r="L14" s="72">
        <v>0</v>
      </c>
      <c r="M14" s="72">
        <v>3</v>
      </c>
      <c r="N14" s="72">
        <v>8</v>
      </c>
      <c r="O14" s="5">
        <f>SUM(Table1[[#This Row],[Column2]:[Column3]])</f>
        <v>11</v>
      </c>
      <c r="P14" s="5">
        <f>SUM(Table1[[#This Row],[Column4]:[Column11]])</f>
        <v>11</v>
      </c>
      <c r="Q14" s="5">
        <f t="shared" si="0"/>
        <v>11</v>
      </c>
      <c r="R14" s="5">
        <v>0</v>
      </c>
      <c r="S14" s="84">
        <v>12</v>
      </c>
      <c r="T14" s="84">
        <v>0</v>
      </c>
      <c r="U14" s="84">
        <v>12</v>
      </c>
      <c r="V14" s="84">
        <v>0</v>
      </c>
      <c r="W14" s="84">
        <v>12</v>
      </c>
      <c r="X14" s="84">
        <v>0</v>
      </c>
      <c r="Y14" s="84">
        <v>11</v>
      </c>
      <c r="Z14" s="84">
        <v>0</v>
      </c>
      <c r="AA14" s="84">
        <v>11</v>
      </c>
      <c r="AB14" s="84">
        <v>0</v>
      </c>
      <c r="AC14" s="84">
        <v>0</v>
      </c>
      <c r="AD14" s="84">
        <v>0</v>
      </c>
      <c r="AE14" s="84">
        <v>13</v>
      </c>
      <c r="AF14" s="84">
        <v>0</v>
      </c>
      <c r="AG14" s="84">
        <v>13</v>
      </c>
      <c r="AH14" s="84">
        <v>0</v>
      </c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</row>
    <row r="15" spans="1:277" s="25" customFormat="1" x14ac:dyDescent="0.25">
      <c r="A15" s="18" t="s">
        <v>175</v>
      </c>
      <c r="B15" s="81">
        <v>41</v>
      </c>
      <c r="C15" s="81">
        <v>4</v>
      </c>
      <c r="D15" s="81">
        <v>16</v>
      </c>
      <c r="E15" s="81">
        <v>1</v>
      </c>
      <c r="F15" s="81">
        <v>0</v>
      </c>
      <c r="G15" s="81">
        <v>4</v>
      </c>
      <c r="H15" s="81">
        <v>1</v>
      </c>
      <c r="I15" s="81">
        <v>4</v>
      </c>
      <c r="J15" s="81">
        <v>4</v>
      </c>
      <c r="K15" s="81">
        <v>1</v>
      </c>
      <c r="L15" s="81">
        <v>14</v>
      </c>
      <c r="M15" s="81">
        <v>20</v>
      </c>
      <c r="N15" s="81">
        <v>25</v>
      </c>
      <c r="O15" s="5">
        <f>SUM(Table1[[#This Row],[Column2]:[Column3]])</f>
        <v>45</v>
      </c>
      <c r="P15" s="5">
        <f>SUM(Table1[[#This Row],[Column4]:[Column11]])</f>
        <v>45</v>
      </c>
      <c r="Q15" s="5">
        <f t="shared" si="0"/>
        <v>45</v>
      </c>
      <c r="R15" s="5">
        <v>0</v>
      </c>
      <c r="S15" s="84">
        <v>41</v>
      </c>
      <c r="T15" s="84">
        <v>0</v>
      </c>
      <c r="U15" s="84">
        <v>44</v>
      </c>
      <c r="V15" s="84">
        <v>0</v>
      </c>
      <c r="W15" s="84">
        <v>43</v>
      </c>
      <c r="X15" s="84">
        <v>0</v>
      </c>
      <c r="Y15" s="84">
        <v>46</v>
      </c>
      <c r="Z15" s="84">
        <v>0</v>
      </c>
      <c r="AA15" s="84">
        <v>41</v>
      </c>
      <c r="AB15" s="84">
        <v>0</v>
      </c>
      <c r="AC15" s="84">
        <v>12</v>
      </c>
      <c r="AD15" s="84">
        <v>1</v>
      </c>
      <c r="AE15" s="84">
        <v>39</v>
      </c>
      <c r="AF15" s="84">
        <v>1</v>
      </c>
      <c r="AG15" s="84">
        <v>41</v>
      </c>
      <c r="AH15" s="84">
        <v>0</v>
      </c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</row>
    <row r="16" spans="1:277" s="40" customFormat="1" x14ac:dyDescent="0.25">
      <c r="A16" s="5" t="s">
        <v>109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f>SUM(Table1[[#This Row],[Column2]:[Column3]])</f>
        <v>0</v>
      </c>
      <c r="P16" s="5">
        <f>SUM(Table1[[#This Row],[Column4]:[Column11]])</f>
        <v>0</v>
      </c>
      <c r="Q16" s="5">
        <f t="shared" si="0"/>
        <v>0</v>
      </c>
      <c r="R16" s="5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  <c r="AH16" s="84">
        <v>0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</row>
    <row r="17" spans="1:277" s="13" customFormat="1" x14ac:dyDescent="0.25">
      <c r="A17" s="18" t="s">
        <v>174</v>
      </c>
      <c r="B17" s="5">
        <v>8</v>
      </c>
      <c r="C17" s="5">
        <v>2</v>
      </c>
      <c r="D17" s="5">
        <v>1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5">
        <v>8</v>
      </c>
      <c r="L17" s="5">
        <v>0</v>
      </c>
      <c r="M17" s="5">
        <v>2</v>
      </c>
      <c r="N17" s="5">
        <v>8</v>
      </c>
      <c r="O17" s="5">
        <f>SUM(B17:C17)</f>
        <v>10</v>
      </c>
      <c r="P17" s="5">
        <f>SUM(D17:L17)</f>
        <v>10</v>
      </c>
      <c r="Q17" s="5">
        <f>SUM(M17:N17)</f>
        <v>10</v>
      </c>
      <c r="R17" s="5">
        <v>0</v>
      </c>
      <c r="S17" s="84">
        <v>7</v>
      </c>
      <c r="T17" s="84">
        <v>0</v>
      </c>
      <c r="U17" s="84">
        <v>5</v>
      </c>
      <c r="V17" s="84">
        <v>0</v>
      </c>
      <c r="W17" s="84">
        <v>8</v>
      </c>
      <c r="X17" s="84">
        <v>0</v>
      </c>
      <c r="Y17" s="84">
        <v>12</v>
      </c>
      <c r="Z17" s="84">
        <v>12</v>
      </c>
      <c r="AA17" s="84">
        <v>12</v>
      </c>
      <c r="AB17" s="84">
        <v>0</v>
      </c>
      <c r="AC17" s="84">
        <v>7</v>
      </c>
      <c r="AD17" s="84">
        <v>0</v>
      </c>
      <c r="AE17" s="84">
        <v>9</v>
      </c>
      <c r="AF17" s="84">
        <v>0</v>
      </c>
      <c r="AG17" s="84">
        <v>9</v>
      </c>
      <c r="AH17" s="84">
        <v>2</v>
      </c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</row>
    <row r="18" spans="1:277" s="40" customFormat="1" x14ac:dyDescent="0.25">
      <c r="A18" s="5" t="s">
        <v>173</v>
      </c>
      <c r="B18" s="5">
        <v>4</v>
      </c>
      <c r="C18" s="5">
        <v>0</v>
      </c>
      <c r="D18" s="5">
        <v>2</v>
      </c>
      <c r="E18" s="5">
        <v>2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</v>
      </c>
      <c r="N18" s="5">
        <v>2</v>
      </c>
      <c r="O18" s="5">
        <f>SUM(B18:C18)</f>
        <v>4</v>
      </c>
      <c r="P18" s="5">
        <f>SUM(D18:L18)</f>
        <v>4</v>
      </c>
      <c r="Q18" s="5">
        <f>SUM(M18:N18)</f>
        <v>4</v>
      </c>
      <c r="R18" s="5">
        <v>0</v>
      </c>
      <c r="S18" s="84">
        <v>5</v>
      </c>
      <c r="T18" s="84">
        <v>0</v>
      </c>
      <c r="U18" s="84">
        <v>7</v>
      </c>
      <c r="V18" s="84">
        <v>0</v>
      </c>
      <c r="W18" s="84">
        <v>7</v>
      </c>
      <c r="X18" s="84">
        <v>0</v>
      </c>
      <c r="Y18" s="84">
        <v>7</v>
      </c>
      <c r="Z18" s="84">
        <v>2</v>
      </c>
      <c r="AA18" s="84">
        <v>5</v>
      </c>
      <c r="AB18" s="84">
        <v>0</v>
      </c>
      <c r="AC18" s="84">
        <v>7</v>
      </c>
      <c r="AD18" s="84">
        <v>2</v>
      </c>
      <c r="AE18" s="84">
        <v>9</v>
      </c>
      <c r="AF18" s="84">
        <v>2</v>
      </c>
      <c r="AG18" s="84">
        <v>5</v>
      </c>
      <c r="AH18" s="84">
        <v>0</v>
      </c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</row>
    <row r="19" spans="1:277" s="18" customFormat="1" x14ac:dyDescent="0.25">
      <c r="A19" s="18" t="s">
        <v>71</v>
      </c>
      <c r="B19" s="5">
        <v>17</v>
      </c>
      <c r="C19" s="5">
        <v>0</v>
      </c>
      <c r="D19" s="5">
        <v>10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  <c r="L19" s="5">
        <v>6</v>
      </c>
      <c r="M19" s="5">
        <v>6</v>
      </c>
      <c r="N19" s="5">
        <v>11</v>
      </c>
      <c r="O19" s="5">
        <f>SUM(Table1[[#This Row],[Column2]:[Column3]])</f>
        <v>17</v>
      </c>
      <c r="P19" s="5">
        <f>SUM(Table1[[#This Row],[Column4]:[Column11]])</f>
        <v>17</v>
      </c>
      <c r="Q19" s="5">
        <f t="shared" si="0"/>
        <v>17</v>
      </c>
      <c r="R19" s="5">
        <v>0</v>
      </c>
      <c r="S19" s="84">
        <v>19</v>
      </c>
      <c r="T19" s="84">
        <v>0</v>
      </c>
      <c r="U19" s="84">
        <v>25</v>
      </c>
      <c r="V19" s="84">
        <v>0</v>
      </c>
      <c r="W19" s="84">
        <v>29</v>
      </c>
      <c r="X19" s="84">
        <v>0</v>
      </c>
      <c r="Y19" s="84">
        <v>28</v>
      </c>
      <c r="Z19" s="84">
        <v>0</v>
      </c>
      <c r="AA19" s="84">
        <v>24</v>
      </c>
      <c r="AB19" s="84">
        <v>0</v>
      </c>
      <c r="AC19" s="84">
        <v>22</v>
      </c>
      <c r="AD19" s="84">
        <v>0</v>
      </c>
      <c r="AE19" s="84">
        <v>24</v>
      </c>
      <c r="AF19" s="84">
        <v>2</v>
      </c>
      <c r="AG19" s="84">
        <v>19</v>
      </c>
      <c r="AH19" s="84">
        <v>1</v>
      </c>
    </row>
    <row r="20" spans="1:277" s="40" customFormat="1" x14ac:dyDescent="0.25">
      <c r="A20" s="5" t="s">
        <v>75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f>SUM(Table1[[#This Row],[Column2]:[Column3]])</f>
        <v>0</v>
      </c>
      <c r="P20" s="5">
        <f>SUM(Table1[[#This Row],[Column4]:[Column11]])</f>
        <v>0</v>
      </c>
      <c r="Q20" s="5">
        <f t="shared" si="0"/>
        <v>0</v>
      </c>
      <c r="R20" s="5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4">
        <v>0</v>
      </c>
      <c r="AG20" s="84">
        <v>0</v>
      </c>
      <c r="AH20" s="84">
        <v>0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</row>
    <row r="21" spans="1:277" s="13" customFormat="1" x14ac:dyDescent="0.25">
      <c r="A21" s="5" t="s">
        <v>28</v>
      </c>
      <c r="B21" s="5">
        <v>5</v>
      </c>
      <c r="C21" s="5">
        <v>0</v>
      </c>
      <c r="D21" s="5">
        <v>3</v>
      </c>
      <c r="E21" s="5">
        <v>1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1</v>
      </c>
      <c r="N21" s="5">
        <v>4</v>
      </c>
      <c r="O21" s="5">
        <f>SUM(Table1[[#This Row],[Column2]:[Column3]])</f>
        <v>5</v>
      </c>
      <c r="P21" s="5">
        <f>SUM(Table1[[#This Row],[Column4]:[Column11]])</f>
        <v>5</v>
      </c>
      <c r="Q21" s="5">
        <f t="shared" si="0"/>
        <v>5</v>
      </c>
      <c r="R21" s="5">
        <v>0</v>
      </c>
      <c r="S21" s="84">
        <v>8</v>
      </c>
      <c r="T21" s="84">
        <v>0</v>
      </c>
      <c r="U21" s="84">
        <v>6</v>
      </c>
      <c r="V21" s="84">
        <v>0</v>
      </c>
      <c r="W21" s="84">
        <v>9</v>
      </c>
      <c r="X21" s="84">
        <v>0</v>
      </c>
      <c r="Y21" s="84">
        <v>9</v>
      </c>
      <c r="Z21" s="84">
        <v>0</v>
      </c>
      <c r="AA21" s="84">
        <v>9</v>
      </c>
      <c r="AB21" s="84">
        <v>0</v>
      </c>
      <c r="AC21" s="84">
        <v>9</v>
      </c>
      <c r="AD21" s="84">
        <v>0</v>
      </c>
      <c r="AE21" s="84">
        <v>10</v>
      </c>
      <c r="AF21" s="84">
        <v>0</v>
      </c>
      <c r="AG21" s="84">
        <v>14</v>
      </c>
      <c r="AH21" s="84">
        <v>0</v>
      </c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</row>
    <row r="22" spans="1:277" s="13" customFormat="1" x14ac:dyDescent="0.25">
      <c r="A22" s="5" t="s">
        <v>146</v>
      </c>
      <c r="B22" s="5" t="s">
        <v>161</v>
      </c>
      <c r="C22" s="5" t="s">
        <v>161</v>
      </c>
      <c r="D22" s="5" t="s">
        <v>161</v>
      </c>
      <c r="E22" s="5" t="s">
        <v>161</v>
      </c>
      <c r="F22" s="5" t="s">
        <v>161</v>
      </c>
      <c r="G22" s="5" t="s">
        <v>161</v>
      </c>
      <c r="H22" s="5" t="s">
        <v>161</v>
      </c>
      <c r="I22" s="5" t="s">
        <v>161</v>
      </c>
      <c r="J22" s="5" t="s">
        <v>161</v>
      </c>
      <c r="K22" s="5" t="s">
        <v>161</v>
      </c>
      <c r="L22" s="5" t="s">
        <v>161</v>
      </c>
      <c r="M22" s="5" t="s">
        <v>161</v>
      </c>
      <c r="N22" s="5" t="s">
        <v>161</v>
      </c>
      <c r="O22" s="5">
        <f>SUM(Table1[[#This Row],[Column2]:[Column3]])</f>
        <v>0</v>
      </c>
      <c r="P22" s="5">
        <f>SUM(Table1[[#This Row],[Column4]:[Column11]])</f>
        <v>0</v>
      </c>
      <c r="Q22" s="5">
        <f t="shared" si="0"/>
        <v>0</v>
      </c>
      <c r="R22" s="5" t="s">
        <v>161</v>
      </c>
      <c r="S22" s="84">
        <v>0</v>
      </c>
      <c r="T22" s="84" t="s">
        <v>161</v>
      </c>
      <c r="U22" s="84" t="s">
        <v>152</v>
      </c>
      <c r="V22" s="84" t="s">
        <v>152</v>
      </c>
      <c r="W22" s="84">
        <v>2</v>
      </c>
      <c r="X22" s="84">
        <v>0</v>
      </c>
      <c r="Y22" s="84">
        <v>1</v>
      </c>
      <c r="Z22" s="84">
        <v>0</v>
      </c>
      <c r="AA22" s="84">
        <v>2</v>
      </c>
      <c r="AB22" s="84">
        <v>0</v>
      </c>
      <c r="AC22" s="84">
        <v>1</v>
      </c>
      <c r="AD22" s="84">
        <v>0</v>
      </c>
      <c r="AE22" s="84">
        <v>2</v>
      </c>
      <c r="AF22" s="84">
        <v>0</v>
      </c>
      <c r="AG22" s="84">
        <v>2</v>
      </c>
      <c r="AH22" s="84">
        <v>0</v>
      </c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</row>
    <row r="23" spans="1:277" s="38" customFormat="1" x14ac:dyDescent="0.25">
      <c r="A23" s="5" t="s">
        <v>61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5">
        <f>SUM(Table1[[#This Row],[Column2]:[Column3]])</f>
        <v>0</v>
      </c>
      <c r="P23" s="5">
        <f>SUM(Table1[[#This Row],[Column4]:[Column11]])</f>
        <v>0</v>
      </c>
      <c r="Q23" s="5">
        <f t="shared" si="0"/>
        <v>0</v>
      </c>
      <c r="R23" s="16">
        <v>3</v>
      </c>
      <c r="S23" s="84">
        <v>0</v>
      </c>
      <c r="T23" s="84">
        <v>3</v>
      </c>
      <c r="U23" s="84">
        <v>0</v>
      </c>
      <c r="V23" s="84">
        <v>3</v>
      </c>
      <c r="W23" s="84">
        <v>0</v>
      </c>
      <c r="X23" s="84">
        <v>4</v>
      </c>
      <c r="Y23" s="84">
        <v>0</v>
      </c>
      <c r="Z23" s="84">
        <v>2</v>
      </c>
      <c r="AA23" s="84">
        <v>0</v>
      </c>
      <c r="AB23" s="84">
        <v>2</v>
      </c>
      <c r="AC23" s="84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</row>
    <row r="24" spans="1:277" x14ac:dyDescent="0.25">
      <c r="A24" s="5" t="s">
        <v>178</v>
      </c>
      <c r="B24" s="70">
        <v>41</v>
      </c>
      <c r="C24" s="70">
        <v>8</v>
      </c>
      <c r="D24" s="70">
        <v>29</v>
      </c>
      <c r="E24" s="70">
        <v>4</v>
      </c>
      <c r="F24" s="70">
        <v>0</v>
      </c>
      <c r="G24" s="70">
        <v>0</v>
      </c>
      <c r="H24" s="70">
        <v>10</v>
      </c>
      <c r="I24" s="70">
        <v>0</v>
      </c>
      <c r="J24" s="70">
        <v>1</v>
      </c>
      <c r="K24" s="70">
        <v>2</v>
      </c>
      <c r="L24" s="70">
        <v>3</v>
      </c>
      <c r="M24" s="70">
        <v>18</v>
      </c>
      <c r="N24" s="70">
        <v>31</v>
      </c>
      <c r="O24" s="5">
        <f>SUM(Table1[[#This Row],[Column2]:[Column3]])</f>
        <v>49</v>
      </c>
      <c r="P24" s="5">
        <f>SUM(Table1[[#This Row],[Column4]:[Column11]])</f>
        <v>49</v>
      </c>
      <c r="Q24" s="5">
        <f t="shared" ref="Q24" si="1">SUM(M24:N24)</f>
        <v>49</v>
      </c>
      <c r="R24" s="5">
        <v>0</v>
      </c>
      <c r="S24" s="84">
        <v>64</v>
      </c>
      <c r="T24" s="84">
        <v>1</v>
      </c>
      <c r="U24" s="84">
        <v>63</v>
      </c>
      <c r="V24" s="84">
        <v>4</v>
      </c>
      <c r="W24" s="84">
        <v>63</v>
      </c>
      <c r="X24" s="84">
        <v>3</v>
      </c>
      <c r="Y24" s="84">
        <v>68</v>
      </c>
      <c r="Z24" s="84">
        <v>4</v>
      </c>
      <c r="AA24" s="84">
        <v>72</v>
      </c>
      <c r="AB24" s="84">
        <v>0</v>
      </c>
      <c r="AC24" s="84">
        <v>72</v>
      </c>
      <c r="AD24" s="84">
        <v>0</v>
      </c>
      <c r="AE24" s="84">
        <v>76</v>
      </c>
      <c r="AF24" s="84">
        <v>0</v>
      </c>
      <c r="AG24" s="84">
        <v>74</v>
      </c>
      <c r="AH24" s="84">
        <v>0</v>
      </c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</row>
    <row r="25" spans="1:277" s="38" customFormat="1" x14ac:dyDescent="0.25">
      <c r="A25" s="5" t="s">
        <v>160</v>
      </c>
      <c r="B25" s="5" t="s">
        <v>161</v>
      </c>
      <c r="C25" s="5" t="s">
        <v>161</v>
      </c>
      <c r="D25" s="5" t="s">
        <v>161</v>
      </c>
      <c r="E25" s="5" t="s">
        <v>161</v>
      </c>
      <c r="F25" s="5" t="s">
        <v>161</v>
      </c>
      <c r="G25" s="5" t="s">
        <v>161</v>
      </c>
      <c r="H25" s="5" t="s">
        <v>161</v>
      </c>
      <c r="I25" s="5" t="s">
        <v>161</v>
      </c>
      <c r="J25" s="5" t="s">
        <v>161</v>
      </c>
      <c r="K25" s="5" t="s">
        <v>161</v>
      </c>
      <c r="L25" s="5" t="s">
        <v>161</v>
      </c>
      <c r="M25" s="5" t="s">
        <v>161</v>
      </c>
      <c r="N25" s="5" t="s">
        <v>161</v>
      </c>
      <c r="O25" s="5" t="s">
        <v>152</v>
      </c>
      <c r="P25" s="5" t="s">
        <v>152</v>
      </c>
      <c r="Q25" s="5" t="s">
        <v>152</v>
      </c>
      <c r="R25" s="5" t="s">
        <v>161</v>
      </c>
      <c r="S25" s="84" t="s">
        <v>152</v>
      </c>
      <c r="T25" s="84" t="s">
        <v>152</v>
      </c>
      <c r="U25" s="84">
        <v>0</v>
      </c>
      <c r="V25" s="84">
        <v>0</v>
      </c>
      <c r="W25" s="84">
        <v>0</v>
      </c>
      <c r="X25" s="84">
        <v>0</v>
      </c>
      <c r="Y25" s="84">
        <v>1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0</v>
      </c>
      <c r="AF25" s="84">
        <v>0</v>
      </c>
      <c r="AG25" s="84">
        <v>1</v>
      </c>
      <c r="AH25" s="84">
        <v>0</v>
      </c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</row>
    <row r="26" spans="1:277" s="38" customFormat="1" x14ac:dyDescent="0.25">
      <c r="A26" s="5" t="s">
        <v>30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f>SUM(Table1[[#This Row],[Column2]:[Column3]])</f>
        <v>0</v>
      </c>
      <c r="P26" s="5">
        <f>SUM(Table1[[#This Row],[Column4]:[Column11]])</f>
        <v>0</v>
      </c>
      <c r="Q26" s="5">
        <f t="shared" si="0"/>
        <v>0</v>
      </c>
      <c r="R26" s="18">
        <v>0</v>
      </c>
      <c r="S26" s="84">
        <v>0</v>
      </c>
      <c r="T26" s="84"/>
      <c r="U26" s="84">
        <v>0</v>
      </c>
      <c r="V26" s="84">
        <v>0</v>
      </c>
      <c r="W26" s="84">
        <v>0</v>
      </c>
      <c r="X26" s="84"/>
      <c r="Y26" s="84">
        <v>0</v>
      </c>
      <c r="Z26" s="84">
        <v>0</v>
      </c>
      <c r="AA26" s="84">
        <v>0</v>
      </c>
      <c r="AB26" s="84">
        <v>0</v>
      </c>
      <c r="AC26" s="84">
        <v>0</v>
      </c>
      <c r="AD26" s="84">
        <v>0</v>
      </c>
      <c r="AE26" s="84">
        <v>0</v>
      </c>
      <c r="AF26" s="84">
        <v>0</v>
      </c>
      <c r="AG26" s="84">
        <v>0</v>
      </c>
      <c r="AH26" s="84">
        <v>0</v>
      </c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</row>
    <row r="27" spans="1:277" s="13" customFormat="1" x14ac:dyDescent="0.25">
      <c r="A27" s="5" t="s">
        <v>114</v>
      </c>
      <c r="B27" s="5">
        <v>23</v>
      </c>
      <c r="C27" s="5">
        <v>2</v>
      </c>
      <c r="D27" s="5">
        <v>20</v>
      </c>
      <c r="E27" s="5">
        <v>0</v>
      </c>
      <c r="F27" s="5">
        <v>0</v>
      </c>
      <c r="G27" s="5">
        <v>5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12</v>
      </c>
      <c r="N27" s="5">
        <v>13</v>
      </c>
      <c r="O27" s="5">
        <f>SUM(Table1[[#This Row],[Column2]:[Column3]])</f>
        <v>25</v>
      </c>
      <c r="P27" s="5">
        <f>SUM(Table1[[#This Row],[Column4]:[Column11]])</f>
        <v>25</v>
      </c>
      <c r="Q27" s="5">
        <f t="shared" si="0"/>
        <v>25</v>
      </c>
      <c r="R27" s="5">
        <v>0</v>
      </c>
      <c r="S27" s="84">
        <v>25</v>
      </c>
      <c r="T27" s="84">
        <v>0</v>
      </c>
      <c r="U27" s="84">
        <v>22</v>
      </c>
      <c r="V27" s="84">
        <v>0</v>
      </c>
      <c r="W27" s="84">
        <v>21</v>
      </c>
      <c r="X27" s="84">
        <v>0</v>
      </c>
      <c r="Y27" s="84">
        <v>24</v>
      </c>
      <c r="Z27" s="84">
        <v>0</v>
      </c>
      <c r="AA27" s="84">
        <v>25</v>
      </c>
      <c r="AB27" s="84">
        <v>0</v>
      </c>
      <c r="AC27" s="84">
        <v>26</v>
      </c>
      <c r="AD27" s="84">
        <v>0</v>
      </c>
      <c r="AE27" s="84">
        <v>32</v>
      </c>
      <c r="AF27" s="84">
        <v>0</v>
      </c>
      <c r="AG27" s="84">
        <v>30</v>
      </c>
      <c r="AH27" s="84">
        <v>0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</row>
    <row r="28" spans="1:277" s="20" customFormat="1" x14ac:dyDescent="0.25">
      <c r="A28" s="18" t="s">
        <v>32</v>
      </c>
      <c r="B28" s="5">
        <v>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3</v>
      </c>
      <c r="K28" s="5">
        <v>0</v>
      </c>
      <c r="L28" s="5">
        <v>0</v>
      </c>
      <c r="M28" s="5">
        <v>2</v>
      </c>
      <c r="N28" s="5">
        <v>1</v>
      </c>
      <c r="O28" s="5">
        <f>SUM(Table1[[#This Row],[Column2]:[Column3]])</f>
        <v>3</v>
      </c>
      <c r="P28" s="5">
        <f>SUM(Table1[[#This Row],[Column4]:[Column11]])</f>
        <v>3</v>
      </c>
      <c r="Q28" s="5">
        <f t="shared" si="0"/>
        <v>3</v>
      </c>
      <c r="R28" s="5">
        <v>2</v>
      </c>
      <c r="S28" s="84">
        <v>3</v>
      </c>
      <c r="T28" s="84">
        <v>0</v>
      </c>
      <c r="U28" s="84">
        <v>4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84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</row>
    <row r="29" spans="1:277" s="20" customFormat="1" x14ac:dyDescent="0.25">
      <c r="A29" s="18" t="s">
        <v>176</v>
      </c>
      <c r="B29" s="5">
        <v>78</v>
      </c>
      <c r="C29" s="5">
        <v>13</v>
      </c>
      <c r="D29" s="5">
        <v>24</v>
      </c>
      <c r="E29" s="5">
        <v>13</v>
      </c>
      <c r="F29" s="5">
        <v>0</v>
      </c>
      <c r="G29" s="5">
        <v>18</v>
      </c>
      <c r="H29" s="5">
        <v>6</v>
      </c>
      <c r="I29" s="5">
        <v>11</v>
      </c>
      <c r="J29" s="5">
        <v>15</v>
      </c>
      <c r="K29" s="5">
        <v>4</v>
      </c>
      <c r="L29" s="5">
        <v>0</v>
      </c>
      <c r="M29" s="5">
        <v>39</v>
      </c>
      <c r="N29" s="5">
        <v>52</v>
      </c>
      <c r="O29" s="5">
        <f>SUM(Table1[[#This Row],[Column2]:[Column3]])</f>
        <v>91</v>
      </c>
      <c r="P29" s="5">
        <f>SUM(Table1[[#This Row],[Column4]:[Column11]])</f>
        <v>91</v>
      </c>
      <c r="Q29" s="5">
        <f t="shared" si="0"/>
        <v>91</v>
      </c>
      <c r="R29" s="5">
        <v>0</v>
      </c>
      <c r="S29" s="84">
        <v>90</v>
      </c>
      <c r="T29" s="84">
        <v>0</v>
      </c>
      <c r="U29" s="84">
        <v>100</v>
      </c>
      <c r="V29" s="84">
        <v>0</v>
      </c>
      <c r="W29" s="84">
        <v>123</v>
      </c>
      <c r="X29" s="84">
        <v>0</v>
      </c>
      <c r="Y29" s="84">
        <v>145</v>
      </c>
      <c r="Z29" s="84">
        <v>0</v>
      </c>
      <c r="AA29" s="84">
        <v>154</v>
      </c>
      <c r="AB29" s="84">
        <v>0</v>
      </c>
      <c r="AC29" s="84">
        <v>184</v>
      </c>
      <c r="AD29" s="84">
        <v>0</v>
      </c>
      <c r="AE29" s="84">
        <v>192</v>
      </c>
      <c r="AF29" s="84">
        <v>0</v>
      </c>
      <c r="AG29" s="84">
        <v>189</v>
      </c>
      <c r="AH29" s="84">
        <v>0</v>
      </c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</row>
    <row r="30" spans="1:277" s="20" customFormat="1" x14ac:dyDescent="0.25">
      <c r="A30" s="18" t="s">
        <v>34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f>SUM(Table1[[#This Row],[Column2]:[Column3]])</f>
        <v>0</v>
      </c>
      <c r="P30" s="5">
        <f>SUM(Table1[[#This Row],[Column4]:[Column11]])</f>
        <v>0</v>
      </c>
      <c r="Q30" s="5">
        <f t="shared" si="0"/>
        <v>0</v>
      </c>
      <c r="R30" s="18">
        <v>0</v>
      </c>
      <c r="S30" s="84">
        <v>0</v>
      </c>
      <c r="T30" s="84"/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84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</row>
    <row r="31" spans="1:277" s="20" customFormat="1" x14ac:dyDescent="0.25">
      <c r="A31" s="18" t="s">
        <v>35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f>SUM(Table1[[#This Row],[Column2]:[Column3]])</f>
        <v>0</v>
      </c>
      <c r="P31" s="5">
        <f>SUM(Table1[[#This Row],[Column4]:[Column11]])</f>
        <v>0</v>
      </c>
      <c r="Q31" s="5">
        <f t="shared" si="0"/>
        <v>0</v>
      </c>
      <c r="R31" s="5">
        <v>0</v>
      </c>
      <c r="S31" s="84">
        <v>0</v>
      </c>
      <c r="T31" s="84">
        <v>0</v>
      </c>
      <c r="U31" s="84">
        <v>0</v>
      </c>
      <c r="V31" s="84">
        <v>0</v>
      </c>
      <c r="W31" s="84">
        <v>2</v>
      </c>
      <c r="X31" s="84">
        <v>0</v>
      </c>
      <c r="Y31" s="84">
        <v>2</v>
      </c>
      <c r="Z31" s="84">
        <v>0</v>
      </c>
      <c r="AA31" s="84">
        <v>2</v>
      </c>
      <c r="AB31" s="84">
        <v>0</v>
      </c>
      <c r="AC31" s="84">
        <v>2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</row>
    <row r="32" spans="1:277" s="38" customFormat="1" x14ac:dyDescent="0.25">
      <c r="A32" s="18" t="s">
        <v>60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f>SUM(Table1[[#This Row],[Column2]:[Column3]])</f>
        <v>0</v>
      </c>
      <c r="P32" s="5">
        <f>SUM(Table1[[#This Row],[Column4]:[Column11]])</f>
        <v>0</v>
      </c>
      <c r="Q32" s="5">
        <f t="shared" si="0"/>
        <v>0</v>
      </c>
      <c r="R32" s="5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/>
      <c r="Y32" s="84">
        <v>0</v>
      </c>
      <c r="Z32" s="84">
        <v>0</v>
      </c>
      <c r="AA32" s="84">
        <v>0</v>
      </c>
      <c r="AB32" s="84">
        <v>0</v>
      </c>
      <c r="AC32" s="84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4</v>
      </c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</row>
    <row r="33" spans="1:277" s="20" customFormat="1" x14ac:dyDescent="0.25">
      <c r="A33" s="16" t="s">
        <v>132</v>
      </c>
      <c r="B33" s="64">
        <v>17</v>
      </c>
      <c r="C33" s="64">
        <v>2</v>
      </c>
      <c r="D33" s="64">
        <v>8</v>
      </c>
      <c r="E33" s="64">
        <v>4</v>
      </c>
      <c r="F33" s="64">
        <v>0</v>
      </c>
      <c r="G33" s="64">
        <v>0</v>
      </c>
      <c r="H33" s="64">
        <v>5</v>
      </c>
      <c r="I33" s="64">
        <v>1</v>
      </c>
      <c r="J33" s="64">
        <v>0</v>
      </c>
      <c r="K33" s="64">
        <v>1</v>
      </c>
      <c r="L33" s="64">
        <v>0</v>
      </c>
      <c r="M33" s="64">
        <v>5</v>
      </c>
      <c r="N33" s="64">
        <v>14</v>
      </c>
      <c r="O33" s="5">
        <f>SUM(Table1[[#This Row],[Column2]:[Column3]])</f>
        <v>19</v>
      </c>
      <c r="P33" s="5">
        <f>SUM(Table1[[#This Row],[Column4]:[Column11]])</f>
        <v>19</v>
      </c>
      <c r="Q33" s="5">
        <f t="shared" si="0"/>
        <v>19</v>
      </c>
      <c r="R33" s="5">
        <v>1</v>
      </c>
      <c r="S33" s="84">
        <v>22</v>
      </c>
      <c r="T33" s="84">
        <v>1</v>
      </c>
      <c r="U33" s="84">
        <v>29</v>
      </c>
      <c r="V33" s="84">
        <v>3</v>
      </c>
      <c r="W33" s="84">
        <v>33</v>
      </c>
      <c r="X33" s="84">
        <v>0</v>
      </c>
      <c r="Y33" s="84">
        <v>33</v>
      </c>
      <c r="Z33" s="84">
        <v>0</v>
      </c>
      <c r="AA33" s="84">
        <v>34</v>
      </c>
      <c r="AB33" s="84">
        <v>0</v>
      </c>
      <c r="AC33" s="84">
        <v>34</v>
      </c>
      <c r="AD33" s="84">
        <v>0</v>
      </c>
      <c r="AE33" s="84">
        <v>30</v>
      </c>
      <c r="AF33" s="84">
        <v>0</v>
      </c>
      <c r="AG33" s="84">
        <v>29</v>
      </c>
      <c r="AH33" s="84">
        <v>0</v>
      </c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</row>
    <row r="34" spans="1:277" s="13" customFormat="1" x14ac:dyDescent="0.25">
      <c r="A34" s="5" t="s">
        <v>110</v>
      </c>
      <c r="B34" s="5">
        <v>10</v>
      </c>
      <c r="C34" s="5">
        <v>1</v>
      </c>
      <c r="D34" s="5">
        <v>6</v>
      </c>
      <c r="E34" s="5">
        <v>0</v>
      </c>
      <c r="F34" s="5">
        <v>0</v>
      </c>
      <c r="G34" s="5">
        <v>4</v>
      </c>
      <c r="H34" s="5">
        <v>0</v>
      </c>
      <c r="I34" s="5">
        <v>0</v>
      </c>
      <c r="J34" s="5">
        <v>1</v>
      </c>
      <c r="K34" s="5">
        <v>0</v>
      </c>
      <c r="L34" s="5">
        <v>0</v>
      </c>
      <c r="M34" s="5">
        <v>4</v>
      </c>
      <c r="N34" s="5">
        <v>7</v>
      </c>
      <c r="O34" s="5">
        <f>SUM(Table1[[#This Row],[Column2]:[Column3]])</f>
        <v>11</v>
      </c>
      <c r="P34" s="5">
        <f>SUM(Table1[[#This Row],[Column4]:[Column11]])</f>
        <v>11</v>
      </c>
      <c r="Q34" s="5">
        <f t="shared" si="0"/>
        <v>11</v>
      </c>
      <c r="R34" s="5">
        <v>0</v>
      </c>
      <c r="S34" s="84">
        <v>11</v>
      </c>
      <c r="T34" s="84">
        <v>0</v>
      </c>
      <c r="U34" s="84">
        <v>15</v>
      </c>
      <c r="V34" s="84">
        <v>0</v>
      </c>
      <c r="W34" s="84">
        <v>12</v>
      </c>
      <c r="X34" s="84">
        <v>1</v>
      </c>
      <c r="Y34" s="84">
        <v>13</v>
      </c>
      <c r="Z34" s="84">
        <v>0</v>
      </c>
      <c r="AA34" s="84">
        <v>10</v>
      </c>
      <c r="AB34" s="84"/>
      <c r="AC34" s="84">
        <v>7</v>
      </c>
      <c r="AD34" s="84">
        <v>0</v>
      </c>
      <c r="AE34" s="84">
        <v>7</v>
      </c>
      <c r="AF34" s="84">
        <v>0</v>
      </c>
      <c r="AG34" s="84">
        <v>8</v>
      </c>
      <c r="AH34" s="84">
        <v>0</v>
      </c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</row>
    <row r="35" spans="1:277" s="20" customFormat="1" x14ac:dyDescent="0.25">
      <c r="A35" s="5" t="s">
        <v>36</v>
      </c>
      <c r="B35" s="71">
        <v>3</v>
      </c>
      <c r="C35" s="71">
        <v>1</v>
      </c>
      <c r="D35" s="71">
        <v>0</v>
      </c>
      <c r="E35" s="71">
        <v>0</v>
      </c>
      <c r="F35" s="71">
        <v>0</v>
      </c>
      <c r="G35" s="71">
        <v>0</v>
      </c>
      <c r="H35" s="71">
        <v>4</v>
      </c>
      <c r="I35" s="71">
        <v>0</v>
      </c>
      <c r="J35" s="71">
        <v>0</v>
      </c>
      <c r="K35" s="71">
        <v>0</v>
      </c>
      <c r="L35" s="71">
        <v>0</v>
      </c>
      <c r="M35" s="71">
        <v>1</v>
      </c>
      <c r="N35" s="71">
        <v>3</v>
      </c>
      <c r="O35" s="5">
        <f>SUM(Table1[[#This Row],[Column2]:[Column3]])</f>
        <v>4</v>
      </c>
      <c r="P35" s="5">
        <f>SUM(Table1[[#This Row],[Column4]:[Column11]])</f>
        <v>4</v>
      </c>
      <c r="Q35" s="5">
        <f t="shared" ref="Q35" si="2">SUM(M35:N35)</f>
        <v>4</v>
      </c>
      <c r="R35" s="5">
        <v>20</v>
      </c>
      <c r="S35" s="84">
        <v>6</v>
      </c>
      <c r="T35" s="84">
        <v>28</v>
      </c>
      <c r="U35" s="84">
        <v>7</v>
      </c>
      <c r="V35" s="84">
        <v>27</v>
      </c>
      <c r="W35" s="84">
        <v>6</v>
      </c>
      <c r="X35" s="84">
        <v>25</v>
      </c>
      <c r="Y35" s="84">
        <v>10</v>
      </c>
      <c r="Z35" s="84">
        <v>31</v>
      </c>
      <c r="AA35" s="84">
        <v>14</v>
      </c>
      <c r="AB35" s="84">
        <v>30</v>
      </c>
      <c r="AC35" s="84">
        <v>17</v>
      </c>
      <c r="AD35" s="84">
        <v>32</v>
      </c>
      <c r="AE35" s="84">
        <v>21</v>
      </c>
      <c r="AF35" s="84">
        <v>41</v>
      </c>
      <c r="AG35" s="84">
        <v>16</v>
      </c>
      <c r="AH35" s="84">
        <v>36</v>
      </c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</row>
    <row r="36" spans="1:277" s="41" customFormat="1" x14ac:dyDescent="0.25">
      <c r="A36" s="18" t="s">
        <v>150</v>
      </c>
      <c r="B36" s="73">
        <v>25</v>
      </c>
      <c r="C36" s="73">
        <v>0</v>
      </c>
      <c r="D36" s="73">
        <v>10</v>
      </c>
      <c r="E36" s="73">
        <v>0</v>
      </c>
      <c r="F36" s="73">
        <v>0</v>
      </c>
      <c r="G36" s="73">
        <v>12</v>
      </c>
      <c r="H36" s="73">
        <v>0</v>
      </c>
      <c r="I36" s="73">
        <v>0</v>
      </c>
      <c r="J36" s="73">
        <v>0</v>
      </c>
      <c r="K36" s="73">
        <v>3</v>
      </c>
      <c r="L36" s="73">
        <v>0</v>
      </c>
      <c r="M36" s="73">
        <v>12</v>
      </c>
      <c r="N36" s="73">
        <v>13</v>
      </c>
      <c r="O36" s="5">
        <f>SUM(Table1[[#This Row],[Column2]:[Column3]])</f>
        <v>25</v>
      </c>
      <c r="P36" s="5">
        <f>SUM(Table1[[#This Row],[Column4]:[Column11]])</f>
        <v>25</v>
      </c>
      <c r="Q36" s="5">
        <f>SUM(M36:N36)</f>
        <v>25</v>
      </c>
      <c r="R36" s="5">
        <v>0</v>
      </c>
      <c r="S36" s="84">
        <v>9</v>
      </c>
      <c r="T36" s="84">
        <v>0</v>
      </c>
      <c r="U36" s="84">
        <v>10</v>
      </c>
      <c r="V36" s="84">
        <v>0</v>
      </c>
      <c r="W36" s="84">
        <v>7</v>
      </c>
      <c r="X36" s="84">
        <v>0</v>
      </c>
      <c r="Y36" s="84">
        <v>32</v>
      </c>
      <c r="Z36" s="84">
        <v>0</v>
      </c>
      <c r="AA36" s="84">
        <v>29</v>
      </c>
      <c r="AB36" s="84">
        <v>0</v>
      </c>
      <c r="AC36" s="84">
        <v>22</v>
      </c>
      <c r="AD36" s="84">
        <v>0</v>
      </c>
      <c r="AE36" s="84">
        <v>24</v>
      </c>
      <c r="AF36" s="84">
        <v>0</v>
      </c>
      <c r="AG36" s="84">
        <v>19</v>
      </c>
      <c r="AH36" s="84">
        <v>0</v>
      </c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</row>
    <row r="37" spans="1:277" s="45" customFormat="1" x14ac:dyDescent="0.25">
      <c r="A37" s="10" t="s">
        <v>37</v>
      </c>
      <c r="B37" s="10">
        <f>SUBTOTAL(109,Table1[Column2])</f>
        <v>434</v>
      </c>
      <c r="C37" s="10">
        <f>SUBTOTAL(109,Table1[Column3])</f>
        <v>78</v>
      </c>
      <c r="D37" s="10">
        <f>SUM(Table1[Column4])</f>
        <v>227</v>
      </c>
      <c r="E37" s="10">
        <f>SUM(Table1[Column5])</f>
        <v>32</v>
      </c>
      <c r="F37" s="10">
        <f>SUBTOTAL(109,Table1[Column6])</f>
        <v>1</v>
      </c>
      <c r="G37" s="10">
        <f>SUBTOTAL(109,Table1[Column7])</f>
        <v>52</v>
      </c>
      <c r="H37" s="10">
        <f>SUBTOTAL(109,Table1[Column8])</f>
        <v>26</v>
      </c>
      <c r="I37" s="10">
        <f>SUBTOTAL(109,Table1[Column9])</f>
        <v>29</v>
      </c>
      <c r="J37" s="10">
        <f>SUBTOTAL(109,Table1[Column10])</f>
        <v>52</v>
      </c>
      <c r="K37" s="10">
        <f>SUBTOTAL(109,Table1[Column102])</f>
        <v>21</v>
      </c>
      <c r="L37" s="10">
        <f>SUBTOTAL(109,Table1[Column11])</f>
        <v>72</v>
      </c>
      <c r="M37" s="10">
        <f>SUBTOTAL(109,Table1[Column12])</f>
        <v>216</v>
      </c>
      <c r="N37" s="10">
        <f>SUBTOTAL(109,Table1[Column13])</f>
        <v>296</v>
      </c>
      <c r="O37" s="10">
        <f>SUBTOTAL(109,O6:O36)</f>
        <v>512</v>
      </c>
      <c r="P37" s="10">
        <f t="shared" ref="P37:W37" si="3">SUBTOTAL(109,P6:P36)</f>
        <v>512</v>
      </c>
      <c r="Q37" s="10">
        <f>SUBTOTAL(109,Table1[Column136])</f>
        <v>512</v>
      </c>
      <c r="R37" s="10">
        <f>SUBTOTAL(109,Table1[Column1364])</f>
        <v>36</v>
      </c>
      <c r="S37" s="83">
        <f>SUBTOTAL(109,Table1[Column1365])</f>
        <v>534</v>
      </c>
      <c r="T37" s="83">
        <f>SUBTOTAL(109,Table1[Column1366])</f>
        <v>40</v>
      </c>
      <c r="U37" s="83">
        <f>SUM(Table1[Column1363])</f>
        <v>580</v>
      </c>
      <c r="V37" s="83">
        <f>SUBTOTAL(109,Table1[Column1362])</f>
        <v>44</v>
      </c>
      <c r="W37" s="83">
        <f t="shared" si="3"/>
        <v>592</v>
      </c>
      <c r="X37" s="83">
        <f>SUBTOTAL(109,Table1[Column29])</f>
        <v>43</v>
      </c>
      <c r="Y37" s="83">
        <f>SUBTOTAL(109,Table1[Column31])</f>
        <v>680</v>
      </c>
      <c r="Z37" s="83">
        <f>SUBTOTAL(109,Table1[Column33])</f>
        <v>63</v>
      </c>
      <c r="AA37" s="83">
        <f>SUBTOTAL(109,Table1[Column35])</f>
        <v>689</v>
      </c>
      <c r="AB37" s="83">
        <f>SUBTOTAL(109,Table1[Column34])</f>
        <v>43</v>
      </c>
      <c r="AC37" s="83">
        <f>SUBTOTAL(109,Table1[Column36])</f>
        <v>700</v>
      </c>
      <c r="AD37" s="83">
        <f>SUBTOTAL(109,Table1[Column39])</f>
        <v>48</v>
      </c>
      <c r="AE37" s="83">
        <f>SUBTOTAL(109,Table1[Column40])</f>
        <v>745</v>
      </c>
      <c r="AF37" s="83">
        <f>SUBTOTAL(109,Table1[Column41])</f>
        <v>46</v>
      </c>
      <c r="AG37" s="83">
        <f>SUBTOTAL(109,Table1[Column42])</f>
        <v>742</v>
      </c>
      <c r="AH37" s="83">
        <f>SUBTOTAL(109,Table1[Column43])</f>
        <v>53</v>
      </c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</row>
    <row r="38" spans="1:277" x14ac:dyDescent="0.25">
      <c r="A38" s="21" t="s">
        <v>63</v>
      </c>
    </row>
    <row r="39" spans="1:277" x14ac:dyDescent="0.25">
      <c r="A39" s="21" t="s">
        <v>170</v>
      </c>
    </row>
    <row r="40" spans="1:277" x14ac:dyDescent="0.25">
      <c r="A40" s="21" t="s">
        <v>38</v>
      </c>
    </row>
    <row r="41" spans="1:277" ht="12.75" customHeight="1" x14ac:dyDescent="0.25">
      <c r="A41" s="27" t="s">
        <v>118</v>
      </c>
    </row>
    <row r="42" spans="1:277" x14ac:dyDescent="0.25">
      <c r="A42" s="115" t="s">
        <v>64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</row>
    <row r="43" spans="1:277" ht="12.75" customHeight="1" x14ac:dyDescent="0.25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</row>
    <row r="44" spans="1:277" x14ac:dyDescent="0.25">
      <c r="A44" s="115" t="s">
        <v>65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</row>
    <row r="45" spans="1:277" x14ac:dyDescent="0.2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</row>
    <row r="46" spans="1:277" x14ac:dyDescent="0.25">
      <c r="AC46" s="55"/>
    </row>
    <row r="47" spans="1:277" x14ac:dyDescent="0.25">
      <c r="A47" s="5" t="s">
        <v>153</v>
      </c>
    </row>
    <row r="55" spans="3:33" x14ac:dyDescent="0.25">
      <c r="AG55" s="56"/>
    </row>
    <row r="57" spans="3:33" x14ac:dyDescent="0.25"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</row>
  </sheetData>
  <mergeCells count="2">
    <mergeCell ref="A42:V43"/>
    <mergeCell ref="A44:V45"/>
  </mergeCells>
  <printOptions gridLines="1"/>
  <pageMargins left="0.25" right="0.25" top="0.75" bottom="0.75" header="0.3" footer="0.3"/>
  <pageSetup paperSize="9" scale="58" firstPageNumber="0" orientation="landscape" horizontalDpi="300" verticalDpi="300" r:id="rId1"/>
  <headerFooter alignWithMargins="0"/>
  <colBreaks count="1" manualBreakCount="1">
    <brk id="22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1"/>
  <sheetViews>
    <sheetView topLeftCell="A14" zoomScale="70" zoomScaleNormal="70" workbookViewId="0">
      <pane xSplit="1" topLeftCell="B1" activePane="topRight" state="frozen"/>
      <selection pane="topRight" activeCell="A42" sqref="A42"/>
    </sheetView>
  </sheetViews>
  <sheetFormatPr defaultRowHeight="13.2" x14ac:dyDescent="0.25"/>
  <cols>
    <col min="1" max="1" width="74.109375" customWidth="1"/>
    <col min="2" max="10" width="9.6640625" customWidth="1"/>
    <col min="11" max="11" width="9.6640625" style="14" customWidth="1"/>
    <col min="12" max="14" width="9.6640625" customWidth="1"/>
    <col min="15" max="15" width="14.109375" style="31" customWidth="1"/>
    <col min="16" max="16" width="13.33203125" style="31" customWidth="1"/>
    <col min="17" max="17" width="13.88671875" style="31" customWidth="1"/>
    <col min="18" max="25" width="11.44140625" style="87" customWidth="1"/>
    <col min="26" max="253" width="9.109375" style="44"/>
  </cols>
  <sheetData>
    <row r="1" spans="1:253" s="9" customFormat="1" x14ac:dyDescent="0.25">
      <c r="A1" s="10" t="s">
        <v>0</v>
      </c>
      <c r="B1" s="10"/>
      <c r="C1" s="10"/>
      <c r="D1" s="10"/>
      <c r="E1" s="10" t="s">
        <v>164</v>
      </c>
      <c r="F1" s="10"/>
      <c r="G1" s="10"/>
      <c r="H1" s="10"/>
      <c r="I1" s="10" t="s">
        <v>39</v>
      </c>
      <c r="J1" s="10"/>
      <c r="K1" s="10"/>
      <c r="L1" s="10"/>
      <c r="M1" s="10"/>
      <c r="N1" s="10"/>
      <c r="O1" s="33"/>
      <c r="P1" s="33"/>
      <c r="Q1" s="33"/>
      <c r="R1" s="83"/>
      <c r="S1" s="83"/>
      <c r="T1" s="84"/>
      <c r="U1" s="84"/>
      <c r="V1" s="84"/>
      <c r="W1" s="84"/>
      <c r="X1" s="84"/>
      <c r="Y1" s="84"/>
    </row>
    <row r="2" spans="1:253" s="2" customFormat="1" x14ac:dyDescent="0.25">
      <c r="A2" s="10" t="s">
        <v>2</v>
      </c>
      <c r="B2" s="10" t="s">
        <v>3</v>
      </c>
      <c r="C2" s="10"/>
      <c r="D2" s="10" t="s">
        <v>4</v>
      </c>
      <c r="E2" s="10"/>
      <c r="F2" s="10"/>
      <c r="G2" s="10"/>
      <c r="H2" s="10"/>
      <c r="I2" s="10"/>
      <c r="J2" s="10"/>
      <c r="K2" s="10"/>
      <c r="L2" s="10"/>
      <c r="M2" s="10" t="s">
        <v>5</v>
      </c>
      <c r="N2" s="10"/>
      <c r="O2" s="11">
        <v>43465</v>
      </c>
      <c r="P2" s="11">
        <v>43465</v>
      </c>
      <c r="Q2" s="11">
        <v>43465</v>
      </c>
      <c r="R2" s="86">
        <v>2017</v>
      </c>
      <c r="S2" s="86">
        <v>2016</v>
      </c>
      <c r="T2" s="86">
        <v>2015</v>
      </c>
      <c r="U2" s="86">
        <v>2014</v>
      </c>
      <c r="V2" s="86">
        <v>2013</v>
      </c>
      <c r="W2" s="86">
        <v>2012</v>
      </c>
      <c r="X2" s="86">
        <v>2011</v>
      </c>
      <c r="Y2" s="86">
        <v>2010</v>
      </c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</row>
    <row r="3" spans="1:253" s="2" customFormat="1" x14ac:dyDescent="0.25">
      <c r="A3" s="10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108</v>
      </c>
      <c r="L3" s="10" t="s">
        <v>15</v>
      </c>
      <c r="M3" s="10" t="s">
        <v>16</v>
      </c>
      <c r="N3" s="10" t="s">
        <v>17</v>
      </c>
      <c r="O3" s="10" t="s">
        <v>40</v>
      </c>
      <c r="P3" s="10" t="s">
        <v>41</v>
      </c>
      <c r="Q3" s="10" t="s">
        <v>42</v>
      </c>
      <c r="R3" s="83" t="s">
        <v>22</v>
      </c>
      <c r="S3" s="83" t="s">
        <v>43</v>
      </c>
      <c r="T3" s="83" t="s">
        <v>43</v>
      </c>
      <c r="U3" s="83" t="s">
        <v>43</v>
      </c>
      <c r="V3" s="83" t="s">
        <v>22</v>
      </c>
      <c r="W3" s="83" t="s">
        <v>43</v>
      </c>
      <c r="X3" s="83" t="s">
        <v>43</v>
      </c>
      <c r="Y3" s="83" t="s">
        <v>43</v>
      </c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</row>
    <row r="4" spans="1:253" s="2" customFormat="1" ht="12.75" hidden="1" customHeight="1" x14ac:dyDescent="0.25">
      <c r="A4" s="5" t="s">
        <v>79</v>
      </c>
      <c r="B4" s="32" t="s">
        <v>80</v>
      </c>
      <c r="C4" s="32" t="s">
        <v>81</v>
      </c>
      <c r="D4" s="32" t="s">
        <v>82</v>
      </c>
      <c r="E4" s="32" t="s">
        <v>83</v>
      </c>
      <c r="F4" s="32" t="s">
        <v>84</v>
      </c>
      <c r="G4" s="32" t="s">
        <v>85</v>
      </c>
      <c r="H4" s="32" t="s">
        <v>86</v>
      </c>
      <c r="I4" s="32" t="s">
        <v>87</v>
      </c>
      <c r="J4" s="32" t="s">
        <v>88</v>
      </c>
      <c r="K4" s="32" t="s">
        <v>107</v>
      </c>
      <c r="L4" s="32" t="s">
        <v>89</v>
      </c>
      <c r="M4" s="32" t="s">
        <v>90</v>
      </c>
      <c r="N4" s="32" t="s">
        <v>91</v>
      </c>
      <c r="O4" s="32" t="s">
        <v>125</v>
      </c>
      <c r="P4" s="32" t="s">
        <v>124</v>
      </c>
      <c r="Q4" s="32" t="s">
        <v>104</v>
      </c>
      <c r="R4" s="84" t="s">
        <v>169</v>
      </c>
      <c r="S4" s="84" t="s">
        <v>155</v>
      </c>
      <c r="T4" s="84" t="s">
        <v>100</v>
      </c>
      <c r="U4" s="84" t="s">
        <v>101</v>
      </c>
      <c r="V4" s="84" t="s">
        <v>102</v>
      </c>
      <c r="W4" s="84" t="s">
        <v>103</v>
      </c>
      <c r="X4" s="84" t="s">
        <v>133</v>
      </c>
      <c r="Y4" s="84" t="s">
        <v>134</v>
      </c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</row>
    <row r="5" spans="1:253" s="2" customFormat="1" x14ac:dyDescent="0.25">
      <c r="A5" s="5" t="s">
        <v>151</v>
      </c>
      <c r="B5" s="5">
        <v>1</v>
      </c>
      <c r="C5" s="5">
        <v>0</v>
      </c>
      <c r="D5" s="5">
        <v>1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1</v>
      </c>
      <c r="N5" s="68">
        <v>0</v>
      </c>
      <c r="O5" s="5">
        <f t="shared" ref="O5:O35" si="0">SUM(B5:C5)</f>
        <v>1</v>
      </c>
      <c r="P5" s="5">
        <f t="shared" ref="P5:P35" si="1">SUM(D5:L5)</f>
        <v>1</v>
      </c>
      <c r="Q5" s="68">
        <f t="shared" ref="Q5:Q35" si="2">SUM(M5:N5)</f>
        <v>1</v>
      </c>
      <c r="R5" s="84" t="s">
        <v>161</v>
      </c>
      <c r="S5" s="84" t="s">
        <v>152</v>
      </c>
      <c r="T5" s="84">
        <v>2</v>
      </c>
      <c r="U5" s="84">
        <v>2</v>
      </c>
      <c r="V5" s="84">
        <v>1</v>
      </c>
      <c r="W5" s="84">
        <v>2</v>
      </c>
      <c r="X5" s="84">
        <v>2</v>
      </c>
      <c r="Y5" s="84">
        <v>0</v>
      </c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</row>
    <row r="6" spans="1:253" s="74" customFormat="1" x14ac:dyDescent="0.25">
      <c r="A6" s="18" t="s">
        <v>171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76">
        <v>0</v>
      </c>
      <c r="O6" s="75">
        <f>SUM(B6:C6)</f>
        <v>0</v>
      </c>
      <c r="P6" s="75">
        <f>SUM(D6:L6)</f>
        <v>0</v>
      </c>
      <c r="Q6" s="77">
        <f>SUM(M6:N6)</f>
        <v>0</v>
      </c>
      <c r="R6" s="84" t="s">
        <v>161</v>
      </c>
      <c r="S6" s="84" t="s">
        <v>161</v>
      </c>
      <c r="T6" s="84" t="s">
        <v>161</v>
      </c>
      <c r="U6" s="84" t="s">
        <v>161</v>
      </c>
      <c r="V6" s="84" t="s">
        <v>161</v>
      </c>
      <c r="W6" s="84" t="s">
        <v>161</v>
      </c>
      <c r="X6" s="84" t="s">
        <v>161</v>
      </c>
      <c r="Y6" s="84" t="s">
        <v>161</v>
      </c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</row>
    <row r="7" spans="1:253" s="13" customFormat="1" x14ac:dyDescent="0.25">
      <c r="A7" s="5" t="s">
        <v>25</v>
      </c>
      <c r="B7" s="5">
        <v>64</v>
      </c>
      <c r="C7" s="5">
        <v>30</v>
      </c>
      <c r="D7" s="5">
        <v>25</v>
      </c>
      <c r="E7" s="5">
        <v>4</v>
      </c>
      <c r="F7" s="5">
        <v>0</v>
      </c>
      <c r="G7" s="5">
        <v>3</v>
      </c>
      <c r="H7" s="5">
        <v>0</v>
      </c>
      <c r="I7" s="5">
        <v>9</v>
      </c>
      <c r="J7" s="5">
        <v>21</v>
      </c>
      <c r="K7" s="5">
        <v>0</v>
      </c>
      <c r="L7" s="5">
        <v>32</v>
      </c>
      <c r="M7" s="5">
        <v>41</v>
      </c>
      <c r="N7" s="68">
        <v>53</v>
      </c>
      <c r="O7" s="5">
        <f t="shared" si="0"/>
        <v>94</v>
      </c>
      <c r="P7" s="5">
        <f t="shared" si="1"/>
        <v>94</v>
      </c>
      <c r="Q7" s="68">
        <f t="shared" si="2"/>
        <v>94</v>
      </c>
      <c r="R7" s="84">
        <v>94</v>
      </c>
      <c r="S7" s="84">
        <v>97</v>
      </c>
      <c r="T7" s="84">
        <v>103</v>
      </c>
      <c r="U7" s="84">
        <v>102</v>
      </c>
      <c r="V7" s="84">
        <v>107</v>
      </c>
      <c r="W7" s="84">
        <v>112</v>
      </c>
      <c r="X7" s="84">
        <v>115</v>
      </c>
      <c r="Y7" s="84">
        <v>128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spans="1:253" s="3" customFormat="1" x14ac:dyDescent="0.25">
      <c r="A8" s="5" t="s">
        <v>177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68">
        <v>0</v>
      </c>
      <c r="O8" s="5">
        <f t="shared" si="0"/>
        <v>0</v>
      </c>
      <c r="P8" s="5">
        <f t="shared" si="1"/>
        <v>0</v>
      </c>
      <c r="Q8" s="68">
        <f t="shared" si="2"/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2</v>
      </c>
      <c r="X8" s="84">
        <v>0</v>
      </c>
      <c r="Y8" s="84">
        <v>0</v>
      </c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253" s="2" customFormat="1" x14ac:dyDescent="0.25">
      <c r="A9" s="18" t="s">
        <v>148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68">
        <v>0</v>
      </c>
      <c r="O9" s="5">
        <f t="shared" si="0"/>
        <v>0</v>
      </c>
      <c r="P9" s="5">
        <f t="shared" si="1"/>
        <v>0</v>
      </c>
      <c r="Q9" s="68">
        <f t="shared" si="2"/>
        <v>0</v>
      </c>
      <c r="R9" s="84">
        <v>0</v>
      </c>
      <c r="S9" s="84">
        <v>0</v>
      </c>
      <c r="T9" s="84">
        <v>0</v>
      </c>
      <c r="U9" s="84">
        <v>1</v>
      </c>
      <c r="V9" s="84">
        <v>0</v>
      </c>
      <c r="W9" s="84">
        <v>0</v>
      </c>
      <c r="X9" s="84">
        <v>0</v>
      </c>
      <c r="Y9" s="84">
        <v>0</v>
      </c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</row>
    <row r="10" spans="1:253" s="3" customFormat="1" x14ac:dyDescent="0.25">
      <c r="A10" s="5" t="s">
        <v>149</v>
      </c>
      <c r="B10" s="5">
        <v>0</v>
      </c>
      <c r="C10" s="5">
        <v>2</v>
      </c>
      <c r="D10" s="5">
        <v>1</v>
      </c>
      <c r="E10" s="5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</v>
      </c>
      <c r="N10" s="68">
        <v>1</v>
      </c>
      <c r="O10" s="5">
        <f t="shared" si="0"/>
        <v>2</v>
      </c>
      <c r="P10" s="5">
        <f t="shared" si="1"/>
        <v>2</v>
      </c>
      <c r="Q10" s="68">
        <f t="shared" si="2"/>
        <v>2</v>
      </c>
      <c r="R10" s="84">
        <v>2</v>
      </c>
      <c r="S10" s="84">
        <v>2</v>
      </c>
      <c r="T10" s="84">
        <v>0</v>
      </c>
      <c r="U10" s="84">
        <v>2</v>
      </c>
      <c r="V10" s="84">
        <v>2</v>
      </c>
      <c r="W10" s="84">
        <v>3</v>
      </c>
      <c r="X10" s="84">
        <v>3</v>
      </c>
      <c r="Y10" s="84">
        <v>3</v>
      </c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</row>
    <row r="11" spans="1:253" s="13" customFormat="1" x14ac:dyDescent="0.25">
      <c r="A11" s="5" t="s">
        <v>116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68">
        <v>0</v>
      </c>
      <c r="O11" s="5">
        <f t="shared" si="0"/>
        <v>0</v>
      </c>
      <c r="P11" s="5">
        <f t="shared" si="1"/>
        <v>0</v>
      </c>
      <c r="Q11" s="68">
        <f t="shared" si="2"/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s="2" customFormat="1" x14ac:dyDescent="0.25">
      <c r="A12" s="5" t="s">
        <v>26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68">
        <v>0</v>
      </c>
      <c r="O12" s="5">
        <f t="shared" si="0"/>
        <v>0</v>
      </c>
      <c r="P12" s="5">
        <f t="shared" si="1"/>
        <v>0</v>
      </c>
      <c r="Q12" s="68">
        <f t="shared" si="2"/>
        <v>0</v>
      </c>
      <c r="R12" s="84">
        <v>0</v>
      </c>
      <c r="S12" s="84">
        <v>20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</row>
    <row r="13" spans="1:253" s="13" customFormat="1" x14ac:dyDescent="0.25">
      <c r="A13" s="5" t="s">
        <v>27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8">
        <v>0</v>
      </c>
      <c r="O13" s="5">
        <f t="shared" si="0"/>
        <v>0</v>
      </c>
      <c r="P13" s="5">
        <f t="shared" si="1"/>
        <v>0</v>
      </c>
      <c r="Q13" s="68">
        <f t="shared" si="2"/>
        <v>0</v>
      </c>
      <c r="R13" s="84">
        <v>1</v>
      </c>
      <c r="S13" s="84">
        <v>1</v>
      </c>
      <c r="T13" s="84">
        <v>1</v>
      </c>
      <c r="U13" s="84">
        <v>1</v>
      </c>
      <c r="V13" s="84">
        <v>1</v>
      </c>
      <c r="W13" s="84">
        <v>1</v>
      </c>
      <c r="X13" s="84">
        <v>1</v>
      </c>
      <c r="Y13" s="84">
        <v>1</v>
      </c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spans="1:253" s="2" customFormat="1" x14ac:dyDescent="0.25">
      <c r="A14" s="5" t="s">
        <v>70</v>
      </c>
      <c r="B14" s="5">
        <v>25</v>
      </c>
      <c r="C14" s="5">
        <v>0</v>
      </c>
      <c r="D14" s="5">
        <v>6</v>
      </c>
      <c r="E14" s="5">
        <v>0</v>
      </c>
      <c r="F14" s="5">
        <v>0</v>
      </c>
      <c r="G14" s="5">
        <v>3</v>
      </c>
      <c r="H14" s="5">
        <v>1</v>
      </c>
      <c r="I14" s="5">
        <v>4</v>
      </c>
      <c r="J14" s="5">
        <v>3</v>
      </c>
      <c r="K14" s="5">
        <v>1</v>
      </c>
      <c r="L14" s="5">
        <v>7</v>
      </c>
      <c r="M14" s="5">
        <v>10</v>
      </c>
      <c r="N14" s="68">
        <v>15</v>
      </c>
      <c r="O14" s="5">
        <f t="shared" si="0"/>
        <v>25</v>
      </c>
      <c r="P14" s="5">
        <f t="shared" si="1"/>
        <v>25</v>
      </c>
      <c r="Q14" s="68">
        <f t="shared" si="2"/>
        <v>25</v>
      </c>
      <c r="R14" s="84">
        <v>19</v>
      </c>
      <c r="S14" s="84">
        <v>22</v>
      </c>
      <c r="T14" s="84">
        <v>22</v>
      </c>
      <c r="U14" s="84">
        <v>31</v>
      </c>
      <c r="V14" s="84">
        <v>35</v>
      </c>
      <c r="W14" s="84">
        <v>21</v>
      </c>
      <c r="X14" s="84">
        <v>34</v>
      </c>
      <c r="Y14" s="84">
        <v>32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</row>
    <row r="15" spans="1:253" s="13" customFormat="1" x14ac:dyDescent="0.25">
      <c r="A15" s="5" t="s">
        <v>109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8">
        <v>0</v>
      </c>
      <c r="O15" s="5">
        <f t="shared" si="0"/>
        <v>0</v>
      </c>
      <c r="P15" s="5">
        <f t="shared" si="1"/>
        <v>0</v>
      </c>
      <c r="Q15" s="68">
        <f t="shared" si="2"/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s="2" customFormat="1" x14ac:dyDescent="0.25">
      <c r="A16" s="5" t="s">
        <v>74</v>
      </c>
      <c r="B16" s="5">
        <v>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3</v>
      </c>
      <c r="L16" s="5">
        <v>0</v>
      </c>
      <c r="M16" s="5">
        <v>1</v>
      </c>
      <c r="N16" s="68">
        <v>2</v>
      </c>
      <c r="O16" s="5">
        <f t="shared" si="0"/>
        <v>3</v>
      </c>
      <c r="P16" s="5">
        <f t="shared" si="1"/>
        <v>3</v>
      </c>
      <c r="Q16" s="68">
        <f t="shared" si="2"/>
        <v>3</v>
      </c>
      <c r="R16" s="84">
        <v>3</v>
      </c>
      <c r="S16" s="84">
        <v>5</v>
      </c>
      <c r="T16" s="84">
        <v>8</v>
      </c>
      <c r="U16" s="84">
        <v>6</v>
      </c>
      <c r="V16" s="84">
        <v>6</v>
      </c>
      <c r="W16" s="84">
        <v>0</v>
      </c>
      <c r="X16" s="84">
        <v>3</v>
      </c>
      <c r="Y16" s="84">
        <v>4</v>
      </c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</row>
    <row r="17" spans="1:253" s="40" customFormat="1" x14ac:dyDescent="0.25">
      <c r="A17" s="5" t="s">
        <v>76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8">
        <v>0</v>
      </c>
      <c r="O17" s="5">
        <f t="shared" si="0"/>
        <v>0</v>
      </c>
      <c r="P17" s="5">
        <f t="shared" si="1"/>
        <v>0</v>
      </c>
      <c r="Q17" s="68">
        <f t="shared" si="2"/>
        <v>0</v>
      </c>
      <c r="R17" s="84">
        <v>0</v>
      </c>
      <c r="S17" s="84">
        <v>0</v>
      </c>
      <c r="T17" s="84">
        <v>1</v>
      </c>
      <c r="U17" s="84">
        <v>0</v>
      </c>
      <c r="V17" s="84">
        <v>0</v>
      </c>
      <c r="W17" s="84">
        <v>3</v>
      </c>
      <c r="X17" s="84">
        <v>2</v>
      </c>
      <c r="Y17" s="84">
        <v>2</v>
      </c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s="2" customFormat="1" x14ac:dyDescent="0.25">
      <c r="A18" s="18" t="s">
        <v>71</v>
      </c>
      <c r="B18" s="5">
        <v>4</v>
      </c>
      <c r="C18" s="5">
        <v>1</v>
      </c>
      <c r="D18" s="5">
        <v>3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2</v>
      </c>
      <c r="M18" s="5">
        <v>2</v>
      </c>
      <c r="N18" s="68">
        <v>3</v>
      </c>
      <c r="O18" s="5">
        <f t="shared" si="0"/>
        <v>5</v>
      </c>
      <c r="P18" s="5">
        <f t="shared" si="1"/>
        <v>5</v>
      </c>
      <c r="Q18" s="68">
        <f t="shared" si="2"/>
        <v>5</v>
      </c>
      <c r="R18" s="84">
        <v>8</v>
      </c>
      <c r="S18" s="84">
        <v>6</v>
      </c>
      <c r="T18" s="84">
        <v>11</v>
      </c>
      <c r="U18" s="84">
        <v>12</v>
      </c>
      <c r="V18" s="84">
        <v>10</v>
      </c>
      <c r="W18" s="84">
        <v>3</v>
      </c>
      <c r="X18" s="84">
        <v>7</v>
      </c>
      <c r="Y18" s="84">
        <v>2</v>
      </c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</row>
    <row r="19" spans="1:253" s="40" customFormat="1" x14ac:dyDescent="0.25">
      <c r="A19" s="5" t="s">
        <v>75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68">
        <v>0</v>
      </c>
      <c r="O19" s="5">
        <f t="shared" si="0"/>
        <v>0</v>
      </c>
      <c r="P19" s="5">
        <f t="shared" si="1"/>
        <v>0</v>
      </c>
      <c r="Q19" s="68">
        <f t="shared" si="2"/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s="3" customFormat="1" x14ac:dyDescent="0.25">
      <c r="A20" s="18" t="s">
        <v>28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68">
        <v>0</v>
      </c>
      <c r="O20" s="5">
        <f>SUM(B20:C20)</f>
        <v>0</v>
      </c>
      <c r="P20" s="5">
        <f t="shared" si="1"/>
        <v>0</v>
      </c>
      <c r="Q20" s="68">
        <f t="shared" si="2"/>
        <v>0</v>
      </c>
      <c r="R20" s="84">
        <v>3</v>
      </c>
      <c r="S20" s="84">
        <v>0</v>
      </c>
      <c r="T20" s="84">
        <v>3</v>
      </c>
      <c r="U20" s="84">
        <v>3</v>
      </c>
      <c r="V20" s="84">
        <v>3</v>
      </c>
      <c r="W20" s="84">
        <v>3</v>
      </c>
      <c r="X20" s="84">
        <v>3</v>
      </c>
      <c r="Y20" s="84">
        <v>5</v>
      </c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</row>
    <row r="21" spans="1:253" s="39" customFormat="1" ht="12.75" customHeight="1" x14ac:dyDescent="0.25">
      <c r="A21" s="5" t="s">
        <v>146</v>
      </c>
      <c r="B21" s="5" t="s">
        <v>161</v>
      </c>
      <c r="C21" s="5" t="s">
        <v>161</v>
      </c>
      <c r="D21" s="5" t="s">
        <v>161</v>
      </c>
      <c r="E21" s="5" t="s">
        <v>161</v>
      </c>
      <c r="F21" s="5" t="s">
        <v>161</v>
      </c>
      <c r="G21" s="5" t="s">
        <v>161</v>
      </c>
      <c r="H21" s="5" t="s">
        <v>161</v>
      </c>
      <c r="I21" s="5" t="s">
        <v>161</v>
      </c>
      <c r="J21" s="5" t="s">
        <v>161</v>
      </c>
      <c r="K21" s="5" t="s">
        <v>161</v>
      </c>
      <c r="L21" s="5" t="s">
        <v>161</v>
      </c>
      <c r="M21" s="5" t="s">
        <v>161</v>
      </c>
      <c r="N21" s="68" t="s">
        <v>161</v>
      </c>
      <c r="O21" s="5">
        <f t="shared" si="0"/>
        <v>0</v>
      </c>
      <c r="P21" s="5">
        <f t="shared" si="1"/>
        <v>0</v>
      </c>
      <c r="Q21" s="68">
        <f t="shared" si="2"/>
        <v>0</v>
      </c>
      <c r="R21" s="84" t="s">
        <v>152</v>
      </c>
      <c r="S21" s="84" t="s">
        <v>152</v>
      </c>
      <c r="T21" s="84">
        <v>0</v>
      </c>
      <c r="U21" s="84">
        <v>0</v>
      </c>
      <c r="V21" s="84">
        <v>2</v>
      </c>
      <c r="W21" s="84">
        <v>0</v>
      </c>
      <c r="X21" s="84">
        <v>1</v>
      </c>
      <c r="Y21" s="84">
        <v>0</v>
      </c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</row>
    <row r="22" spans="1:253" s="38" customFormat="1" x14ac:dyDescent="0.25">
      <c r="A22" s="16" t="s">
        <v>61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69">
        <v>0</v>
      </c>
      <c r="O22" s="16">
        <f t="shared" si="0"/>
        <v>0</v>
      </c>
      <c r="P22" s="16">
        <f t="shared" si="1"/>
        <v>0</v>
      </c>
      <c r="Q22" s="69">
        <f t="shared" si="2"/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3" customFormat="1" x14ac:dyDescent="0.25">
      <c r="A23" s="5" t="s">
        <v>178</v>
      </c>
      <c r="B23" s="5">
        <v>26</v>
      </c>
      <c r="C23" s="5">
        <v>5</v>
      </c>
      <c r="D23" s="5">
        <v>14</v>
      </c>
      <c r="E23" s="5">
        <v>4</v>
      </c>
      <c r="F23" s="5">
        <v>0</v>
      </c>
      <c r="G23" s="5">
        <v>0</v>
      </c>
      <c r="H23" s="5">
        <v>8</v>
      </c>
      <c r="I23" s="5">
        <v>0</v>
      </c>
      <c r="J23" s="5">
        <v>0</v>
      </c>
      <c r="K23" s="5">
        <v>2</v>
      </c>
      <c r="L23" s="5">
        <v>3</v>
      </c>
      <c r="M23" s="5">
        <v>11</v>
      </c>
      <c r="N23" s="68">
        <v>20</v>
      </c>
      <c r="O23" s="5">
        <f t="shared" si="0"/>
        <v>31</v>
      </c>
      <c r="P23" s="5">
        <f t="shared" si="1"/>
        <v>31</v>
      </c>
      <c r="Q23" s="68">
        <f t="shared" si="2"/>
        <v>31</v>
      </c>
      <c r="R23" s="84">
        <v>38</v>
      </c>
      <c r="S23" s="84">
        <v>36</v>
      </c>
      <c r="T23" s="84">
        <v>42</v>
      </c>
      <c r="U23" s="84">
        <v>47</v>
      </c>
      <c r="V23" s="84">
        <v>51</v>
      </c>
      <c r="W23" s="84">
        <v>51</v>
      </c>
      <c r="X23" s="84">
        <v>57</v>
      </c>
      <c r="Y23" s="84">
        <v>55</v>
      </c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</row>
    <row r="24" spans="1:253" s="38" customFormat="1" x14ac:dyDescent="0.25">
      <c r="A24" s="5" t="s">
        <v>160</v>
      </c>
      <c r="B24" s="5" t="s">
        <v>161</v>
      </c>
      <c r="C24" s="5" t="s">
        <v>161</v>
      </c>
      <c r="D24" s="5" t="s">
        <v>161</v>
      </c>
      <c r="E24" s="5" t="s">
        <v>161</v>
      </c>
      <c r="F24" s="5" t="s">
        <v>161</v>
      </c>
      <c r="G24" s="5" t="s">
        <v>161</v>
      </c>
      <c r="H24" s="5" t="s">
        <v>161</v>
      </c>
      <c r="I24" s="5" t="s">
        <v>161</v>
      </c>
      <c r="J24" s="5" t="s">
        <v>161</v>
      </c>
      <c r="K24" s="5" t="s">
        <v>161</v>
      </c>
      <c r="L24" s="5" t="s">
        <v>161</v>
      </c>
      <c r="M24" s="5" t="s">
        <v>161</v>
      </c>
      <c r="N24" s="68" t="s">
        <v>161</v>
      </c>
      <c r="O24" s="5">
        <f t="shared" si="0"/>
        <v>0</v>
      </c>
      <c r="P24" s="5">
        <f t="shared" si="1"/>
        <v>0</v>
      </c>
      <c r="Q24" s="68">
        <f t="shared" si="2"/>
        <v>0</v>
      </c>
      <c r="R24" s="84" t="s">
        <v>152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38" customFormat="1" x14ac:dyDescent="0.25">
      <c r="A25" s="5" t="s">
        <v>30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68">
        <v>0</v>
      </c>
      <c r="O25" s="5">
        <f t="shared" si="0"/>
        <v>0</v>
      </c>
      <c r="P25" s="5">
        <f t="shared" si="1"/>
        <v>0</v>
      </c>
      <c r="Q25" s="68">
        <f t="shared" si="2"/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13" customFormat="1" x14ac:dyDescent="0.25">
      <c r="A26" s="5" t="s">
        <v>115</v>
      </c>
      <c r="B26" s="5">
        <v>6</v>
      </c>
      <c r="C26" s="5">
        <v>2</v>
      </c>
      <c r="D26" s="5">
        <v>6</v>
      </c>
      <c r="E26" s="5">
        <v>0</v>
      </c>
      <c r="F26" s="5">
        <v>0</v>
      </c>
      <c r="G26" s="5">
        <v>2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4</v>
      </c>
      <c r="N26" s="68">
        <v>4</v>
      </c>
      <c r="O26" s="5">
        <f t="shared" si="0"/>
        <v>8</v>
      </c>
      <c r="P26" s="5">
        <f t="shared" si="1"/>
        <v>8</v>
      </c>
      <c r="Q26" s="68">
        <f t="shared" si="2"/>
        <v>8</v>
      </c>
      <c r="R26" s="84">
        <v>8</v>
      </c>
      <c r="S26" s="84">
        <v>4</v>
      </c>
      <c r="T26" s="84">
        <v>4</v>
      </c>
      <c r="U26" s="84">
        <v>5</v>
      </c>
      <c r="V26" s="84">
        <v>5</v>
      </c>
      <c r="W26" s="84">
        <v>8</v>
      </c>
      <c r="X26" s="84">
        <v>10</v>
      </c>
      <c r="Y26" s="84">
        <v>8</v>
      </c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20" customFormat="1" x14ac:dyDescent="0.25">
      <c r="A27" s="5" t="s">
        <v>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68">
        <v>0</v>
      </c>
      <c r="O27" s="5">
        <f t="shared" si="0"/>
        <v>0</v>
      </c>
      <c r="P27" s="5">
        <f t="shared" si="1"/>
        <v>0</v>
      </c>
      <c r="Q27" s="68">
        <f t="shared" si="2"/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</row>
    <row r="28" spans="1:253" s="19" customFormat="1" x14ac:dyDescent="0.25">
      <c r="A28" s="18" t="s">
        <v>33</v>
      </c>
      <c r="B28" s="5">
        <v>47</v>
      </c>
      <c r="C28" s="5">
        <v>6</v>
      </c>
      <c r="D28" s="5">
        <v>12</v>
      </c>
      <c r="E28" s="5">
        <v>11</v>
      </c>
      <c r="F28" s="5">
        <v>0</v>
      </c>
      <c r="G28" s="5">
        <v>11</v>
      </c>
      <c r="H28" s="5">
        <v>2</v>
      </c>
      <c r="I28" s="5">
        <v>7</v>
      </c>
      <c r="J28" s="5">
        <v>7</v>
      </c>
      <c r="K28" s="5">
        <v>3</v>
      </c>
      <c r="L28" s="5">
        <v>0</v>
      </c>
      <c r="M28" s="5">
        <v>26</v>
      </c>
      <c r="N28" s="68">
        <v>27</v>
      </c>
      <c r="O28" s="5">
        <f t="shared" si="0"/>
        <v>53</v>
      </c>
      <c r="P28" s="5">
        <f t="shared" si="1"/>
        <v>53</v>
      </c>
      <c r="Q28" s="68">
        <f t="shared" si="2"/>
        <v>53</v>
      </c>
      <c r="R28" s="84">
        <v>57</v>
      </c>
      <c r="S28" s="84">
        <v>65</v>
      </c>
      <c r="T28" s="84">
        <v>77</v>
      </c>
      <c r="U28" s="84">
        <v>90</v>
      </c>
      <c r="V28" s="84">
        <v>88</v>
      </c>
      <c r="W28" s="84">
        <v>104</v>
      </c>
      <c r="X28" s="84">
        <v>112</v>
      </c>
      <c r="Y28" s="84">
        <v>100</v>
      </c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</row>
    <row r="29" spans="1:253" s="20" customFormat="1" x14ac:dyDescent="0.25">
      <c r="A29" s="18" t="s">
        <v>34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68">
        <v>0</v>
      </c>
      <c r="O29" s="5">
        <f t="shared" si="0"/>
        <v>0</v>
      </c>
      <c r="P29" s="5">
        <f t="shared" si="1"/>
        <v>0</v>
      </c>
      <c r="Q29" s="68">
        <f t="shared" si="2"/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s="20" customFormat="1" x14ac:dyDescent="0.25">
      <c r="A30" s="18" t="s">
        <v>35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68">
        <v>0</v>
      </c>
      <c r="O30" s="5">
        <f t="shared" si="0"/>
        <v>0</v>
      </c>
      <c r="P30" s="5">
        <f t="shared" si="1"/>
        <v>0</v>
      </c>
      <c r="Q30" s="68">
        <f t="shared" si="2"/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38" customFormat="1" x14ac:dyDescent="0.25">
      <c r="A31" s="5" t="s">
        <v>59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68">
        <v>0</v>
      </c>
      <c r="O31" s="5">
        <f t="shared" si="0"/>
        <v>0</v>
      </c>
      <c r="P31" s="5">
        <f t="shared" si="1"/>
        <v>0</v>
      </c>
      <c r="Q31" s="68">
        <f t="shared" si="2"/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22" customFormat="1" x14ac:dyDescent="0.25">
      <c r="A32" s="16" t="s">
        <v>132</v>
      </c>
      <c r="B32" s="5">
        <v>6</v>
      </c>
      <c r="C32" s="5">
        <v>1</v>
      </c>
      <c r="D32" s="5">
        <v>3</v>
      </c>
      <c r="E32" s="5">
        <v>3</v>
      </c>
      <c r="F32" s="5">
        <v>0</v>
      </c>
      <c r="G32" s="5">
        <v>0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3</v>
      </c>
      <c r="N32" s="68">
        <v>4</v>
      </c>
      <c r="O32" s="5">
        <f t="shared" si="0"/>
        <v>7</v>
      </c>
      <c r="P32" s="5">
        <f t="shared" si="1"/>
        <v>7</v>
      </c>
      <c r="Q32" s="68">
        <f t="shared" si="2"/>
        <v>7</v>
      </c>
      <c r="R32" s="84">
        <v>11</v>
      </c>
      <c r="S32" s="84">
        <v>17</v>
      </c>
      <c r="T32" s="84">
        <v>17</v>
      </c>
      <c r="U32" s="84">
        <v>17</v>
      </c>
      <c r="V32" s="84">
        <v>15</v>
      </c>
      <c r="W32" s="84">
        <v>17</v>
      </c>
      <c r="X32" s="84">
        <v>15</v>
      </c>
      <c r="Y32" s="84">
        <v>10</v>
      </c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</row>
    <row r="33" spans="1:253" s="13" customFormat="1" x14ac:dyDescent="0.25">
      <c r="A33" s="5" t="s">
        <v>110</v>
      </c>
      <c r="B33" s="5">
        <v>2</v>
      </c>
      <c r="C33" s="5">
        <v>0</v>
      </c>
      <c r="D33" s="5">
        <v>1</v>
      </c>
      <c r="E33" s="5">
        <v>0</v>
      </c>
      <c r="F33" s="5">
        <v>0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68">
        <v>1</v>
      </c>
      <c r="O33" s="5">
        <f t="shared" si="0"/>
        <v>2</v>
      </c>
      <c r="P33" s="5">
        <f t="shared" si="1"/>
        <v>2</v>
      </c>
      <c r="Q33" s="68">
        <f t="shared" si="2"/>
        <v>2</v>
      </c>
      <c r="R33" s="84">
        <v>4</v>
      </c>
      <c r="S33" s="84">
        <v>4</v>
      </c>
      <c r="T33" s="84">
        <v>4</v>
      </c>
      <c r="U33" s="84">
        <v>4</v>
      </c>
      <c r="V33" s="84">
        <v>2</v>
      </c>
      <c r="W33" s="84">
        <v>7</v>
      </c>
      <c r="X33" s="84">
        <v>1</v>
      </c>
      <c r="Y33" s="84">
        <v>1</v>
      </c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22" customFormat="1" x14ac:dyDescent="0.25">
      <c r="A34" s="5" t="s">
        <v>36</v>
      </c>
      <c r="B34" s="5">
        <v>2</v>
      </c>
      <c r="C34" s="5">
        <v>1</v>
      </c>
      <c r="D34" s="5">
        <v>0</v>
      </c>
      <c r="E34" s="5">
        <v>0</v>
      </c>
      <c r="F34" s="5">
        <v>0</v>
      </c>
      <c r="G34" s="5">
        <v>0</v>
      </c>
      <c r="H34" s="5">
        <v>3</v>
      </c>
      <c r="I34" s="5">
        <v>0</v>
      </c>
      <c r="J34" s="5">
        <v>0</v>
      </c>
      <c r="K34" s="5">
        <v>0</v>
      </c>
      <c r="L34" s="5">
        <v>0</v>
      </c>
      <c r="M34" s="5">
        <v>1</v>
      </c>
      <c r="N34" s="68">
        <v>2</v>
      </c>
      <c r="O34" s="5">
        <f t="shared" si="0"/>
        <v>3</v>
      </c>
      <c r="P34" s="5">
        <f t="shared" si="1"/>
        <v>3</v>
      </c>
      <c r="Q34" s="68">
        <f t="shared" si="2"/>
        <v>3</v>
      </c>
      <c r="R34" s="84">
        <v>5</v>
      </c>
      <c r="S34" s="84">
        <v>5</v>
      </c>
      <c r="T34" s="84">
        <v>5</v>
      </c>
      <c r="U34" s="84">
        <v>7</v>
      </c>
      <c r="V34" s="84">
        <v>11</v>
      </c>
      <c r="W34" s="84">
        <v>8</v>
      </c>
      <c r="X34" s="84">
        <v>8</v>
      </c>
      <c r="Y34" s="84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</row>
    <row r="35" spans="1:253" s="41" customFormat="1" x14ac:dyDescent="0.25">
      <c r="A35" s="18" t="s">
        <v>150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68">
        <v>0</v>
      </c>
      <c r="O35" s="5">
        <f t="shared" si="0"/>
        <v>0</v>
      </c>
      <c r="P35" s="5">
        <f t="shared" si="1"/>
        <v>0</v>
      </c>
      <c r="Q35" s="68">
        <f t="shared" si="2"/>
        <v>0</v>
      </c>
      <c r="R35" s="84">
        <v>0</v>
      </c>
      <c r="S35" s="84">
        <v>2</v>
      </c>
      <c r="T35" s="84">
        <v>0</v>
      </c>
      <c r="U35" s="84">
        <v>2</v>
      </c>
      <c r="V35" s="84">
        <v>2</v>
      </c>
      <c r="W35" s="84">
        <v>4</v>
      </c>
      <c r="X35" s="84">
        <v>5</v>
      </c>
      <c r="Y35" s="84">
        <v>5</v>
      </c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</row>
    <row r="36" spans="1:253" s="45" customFormat="1" x14ac:dyDescent="0.25">
      <c r="A36" s="10" t="s">
        <v>37</v>
      </c>
      <c r="B36" s="10">
        <f>SUBTOTAL(109,Table2[Column2])</f>
        <v>186</v>
      </c>
      <c r="C36" s="10">
        <f>SUBTOTAL(109,Table2[Column3])</f>
        <v>48</v>
      </c>
      <c r="D36" s="10">
        <f>SUBTOTAL(109,Table2[Column4])</f>
        <v>72</v>
      </c>
      <c r="E36" s="10">
        <f>SUBTOTAL(109,Table2[Column5])</f>
        <v>22</v>
      </c>
      <c r="F36" s="10">
        <f>SUBTOTAL(109,Table2[Column6])</f>
        <v>0</v>
      </c>
      <c r="G36" s="10">
        <f>SUBTOTAL(109,Table2[Column7])</f>
        <v>21</v>
      </c>
      <c r="H36" s="10">
        <f>SUBTOTAL(109,Table2[Column8])</f>
        <v>15</v>
      </c>
      <c r="I36" s="10">
        <f>SUBTOTAL(109,Table2[Column9])</f>
        <v>20</v>
      </c>
      <c r="J36" s="10">
        <f>SUBTOTAL(109,Table2[Column10])</f>
        <v>31</v>
      </c>
      <c r="K36" s="10">
        <f>SUBTOTAL(109,Table2[Column102])</f>
        <v>9</v>
      </c>
      <c r="L36" s="10">
        <f>SUBTOTAL(109,Table2[Column11])</f>
        <v>44</v>
      </c>
      <c r="M36" s="10">
        <f>SUBTOTAL(109,Table2[Column12])</f>
        <v>102</v>
      </c>
      <c r="N36" s="10">
        <f>SUBTOTAL(109,Table2[Column13])</f>
        <v>132</v>
      </c>
      <c r="O36" s="10">
        <f>SUBTOTAL(109,Table2[Column137])</f>
        <v>234</v>
      </c>
      <c r="P36" s="10">
        <f>SUBTOTAL(109,Table2[Column136])</f>
        <v>234</v>
      </c>
      <c r="Q36" s="10">
        <f>SUBTOTAL(109,Table2[Column133])</f>
        <v>234</v>
      </c>
      <c r="R36" s="83">
        <f>SUBTOTAL(109,Table2[Column212])</f>
        <v>253</v>
      </c>
      <c r="S36" s="83">
        <f>SUBTOTAL(109,Table2[Column213])</f>
        <v>286</v>
      </c>
      <c r="T36" s="83">
        <v>300</v>
      </c>
      <c r="U36" s="83">
        <v>332</v>
      </c>
      <c r="V36" s="83">
        <v>341</v>
      </c>
      <c r="W36" s="83">
        <v>349</v>
      </c>
      <c r="X36" s="83">
        <v>379</v>
      </c>
      <c r="Y36" s="83">
        <v>357</v>
      </c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</row>
    <row r="38" spans="1:253" x14ac:dyDescent="0.25">
      <c r="A38" t="s">
        <v>62</v>
      </c>
      <c r="N38" s="31"/>
    </row>
    <row r="39" spans="1:253" x14ac:dyDescent="0.25">
      <c r="A39" t="s">
        <v>44</v>
      </c>
    </row>
    <row r="40" spans="1:253" x14ac:dyDescent="0.25">
      <c r="A40" t="s">
        <v>45</v>
      </c>
    </row>
    <row r="41" spans="1:253" x14ac:dyDescent="0.25">
      <c r="A41" s="28" t="s">
        <v>118</v>
      </c>
    </row>
    <row r="44" spans="1:253" x14ac:dyDescent="0.25">
      <c r="A44" s="119" t="s">
        <v>180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</row>
    <row r="45" spans="1:253" x14ac:dyDescent="0.2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</row>
    <row r="46" spans="1:253" x14ac:dyDescent="0.25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</row>
    <row r="47" spans="1:253" ht="12" customHeight="1" x14ac:dyDescent="0.25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</row>
    <row r="48" spans="1:253" ht="13.2" hidden="1" customHeight="1" x14ac:dyDescent="0.25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</row>
    <row r="49" spans="1:17" ht="13.2" hidden="1" customHeight="1" x14ac:dyDescent="0.25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</row>
    <row r="50" spans="1:17" ht="13.2" hidden="1" customHeight="1" x14ac:dyDescent="0.2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</row>
    <row r="51" spans="1:17" ht="13.2" hidden="1" customHeight="1" x14ac:dyDescent="0.25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</row>
  </sheetData>
  <sheetProtection sort="0"/>
  <mergeCells count="1">
    <mergeCell ref="A44:Q51"/>
  </mergeCells>
  <pageMargins left="0.25" right="0.25" top="0.75" bottom="0.75" header="0.3" footer="0.3"/>
  <pageSetup paperSize="9" scale="41" firstPageNumber="0" fitToHeight="0" orientation="landscape" horizontalDpi="300" verticalDpi="300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zoomScale="70" zoomScaleNormal="70" workbookViewId="0">
      <pane xSplit="1" topLeftCell="B1" activePane="topRight" state="frozen"/>
      <selection pane="topRight" activeCell="E41" sqref="E41"/>
    </sheetView>
  </sheetViews>
  <sheetFormatPr defaultColWidth="8.88671875" defaultRowHeight="13.2" x14ac:dyDescent="0.25"/>
  <cols>
    <col min="1" max="1" width="62.44140625" style="18" customWidth="1"/>
    <col min="2" max="13" width="10.44140625" style="18" customWidth="1"/>
    <col min="14" max="17" width="11.44140625" style="18" customWidth="1"/>
    <col min="18" max="24" width="0" style="18" hidden="1" customWidth="1"/>
    <col min="25" max="16384" width="8.88671875" style="18"/>
  </cols>
  <sheetData>
    <row r="1" spans="1:24" x14ac:dyDescent="0.25">
      <c r="A1" s="23" t="s">
        <v>0</v>
      </c>
      <c r="B1" s="23"/>
      <c r="C1" s="23"/>
      <c r="D1" s="23"/>
      <c r="E1" s="23" t="s">
        <v>164</v>
      </c>
      <c r="F1" s="23"/>
      <c r="G1" s="23"/>
      <c r="H1" s="23"/>
      <c r="I1" s="23"/>
      <c r="J1" s="23"/>
      <c r="K1" s="23"/>
      <c r="L1" s="23" t="s">
        <v>46</v>
      </c>
      <c r="M1" s="23"/>
      <c r="N1" s="23"/>
      <c r="O1" s="23"/>
      <c r="P1" s="23"/>
      <c r="Q1" s="23"/>
    </row>
    <row r="2" spans="1:24" x14ac:dyDescent="0.25">
      <c r="A2" s="23" t="s">
        <v>2</v>
      </c>
      <c r="B2" s="23" t="s">
        <v>47</v>
      </c>
      <c r="C2" s="23"/>
      <c r="D2" s="23"/>
      <c r="E2" s="23"/>
      <c r="F2" s="23"/>
      <c r="G2" s="23"/>
      <c r="H2" s="23"/>
      <c r="I2" s="23">
        <v>2018</v>
      </c>
      <c r="J2" s="83">
        <v>2017</v>
      </c>
      <c r="K2" s="83">
        <v>2016</v>
      </c>
      <c r="L2" s="83">
        <v>2015</v>
      </c>
      <c r="M2" s="83">
        <v>2014</v>
      </c>
      <c r="N2" s="83">
        <v>2013</v>
      </c>
      <c r="O2" s="83">
        <v>2012</v>
      </c>
      <c r="P2" s="83">
        <v>2011</v>
      </c>
      <c r="Q2" s="83">
        <v>2010</v>
      </c>
      <c r="R2" s="18">
        <v>2015</v>
      </c>
      <c r="S2" s="18">
        <v>2014</v>
      </c>
      <c r="T2" s="18">
        <v>2013</v>
      </c>
      <c r="U2" s="18">
        <v>2012</v>
      </c>
      <c r="V2" s="18">
        <v>2011</v>
      </c>
      <c r="W2" s="18">
        <v>2010</v>
      </c>
      <c r="X2" s="18">
        <v>2009</v>
      </c>
    </row>
    <row r="3" spans="1:24" x14ac:dyDescent="0.25">
      <c r="A3" s="23"/>
      <c r="B3" s="10" t="s">
        <v>48</v>
      </c>
      <c r="C3" s="10" t="s">
        <v>49</v>
      </c>
      <c r="D3" s="10" t="s">
        <v>50</v>
      </c>
      <c r="E3" s="10" t="s">
        <v>51</v>
      </c>
      <c r="F3" s="10" t="s">
        <v>52</v>
      </c>
      <c r="G3" s="10" t="s">
        <v>53</v>
      </c>
      <c r="H3" s="10" t="s">
        <v>15</v>
      </c>
      <c r="I3" s="10" t="s">
        <v>43</v>
      </c>
      <c r="J3" s="83"/>
      <c r="K3" s="83" t="s">
        <v>43</v>
      </c>
      <c r="L3" s="83" t="s">
        <v>22</v>
      </c>
      <c r="M3" s="83" t="s">
        <v>22</v>
      </c>
      <c r="N3" s="83" t="s">
        <v>43</v>
      </c>
      <c r="O3" s="83" t="s">
        <v>43</v>
      </c>
      <c r="P3" s="83" t="s">
        <v>22</v>
      </c>
      <c r="Q3" s="83" t="s">
        <v>22</v>
      </c>
      <c r="R3" s="18" t="s">
        <v>22</v>
      </c>
      <c r="S3" s="18" t="s">
        <v>22</v>
      </c>
      <c r="T3" s="18" t="s">
        <v>43</v>
      </c>
      <c r="U3" s="18" t="s">
        <v>43</v>
      </c>
      <c r="V3" s="18" t="s">
        <v>22</v>
      </c>
      <c r="W3" s="18" t="s">
        <v>22</v>
      </c>
      <c r="X3" s="18" t="s">
        <v>22</v>
      </c>
    </row>
    <row r="4" spans="1:24" hidden="1" x14ac:dyDescent="0.25">
      <c r="A4" s="18" t="s">
        <v>79</v>
      </c>
      <c r="B4" s="32" t="s">
        <v>80</v>
      </c>
      <c r="C4" s="32" t="s">
        <v>81</v>
      </c>
      <c r="D4" s="32" t="s">
        <v>82</v>
      </c>
      <c r="E4" s="32" t="s">
        <v>83</v>
      </c>
      <c r="F4" s="32" t="s">
        <v>84</v>
      </c>
      <c r="G4" s="32" t="s">
        <v>85</v>
      </c>
      <c r="H4" s="32" t="s">
        <v>86</v>
      </c>
      <c r="I4" s="32" t="s">
        <v>128</v>
      </c>
      <c r="J4" s="84" t="s">
        <v>167</v>
      </c>
      <c r="K4" s="84" t="s">
        <v>156</v>
      </c>
      <c r="L4" s="84" t="s">
        <v>87</v>
      </c>
      <c r="M4" s="84" t="s">
        <v>105</v>
      </c>
      <c r="N4" s="84" t="s">
        <v>88</v>
      </c>
      <c r="O4" s="84" t="s">
        <v>89</v>
      </c>
      <c r="P4" s="84" t="s">
        <v>90</v>
      </c>
      <c r="Q4" s="84" t="s">
        <v>91</v>
      </c>
      <c r="R4" s="18" t="s">
        <v>93</v>
      </c>
      <c r="S4" s="18" t="s">
        <v>94</v>
      </c>
      <c r="T4" s="18" t="s">
        <v>95</v>
      </c>
      <c r="U4" s="18" t="s">
        <v>96</v>
      </c>
      <c r="V4" s="18" t="s">
        <v>97</v>
      </c>
      <c r="W4" s="18" t="s">
        <v>98</v>
      </c>
      <c r="X4" s="18" t="s">
        <v>99</v>
      </c>
    </row>
    <row r="5" spans="1:24" x14ac:dyDescent="0.25">
      <c r="A5" s="5" t="s">
        <v>24</v>
      </c>
      <c r="B5" s="5">
        <v>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SUM(A5:G5)</f>
        <v>1</v>
      </c>
      <c r="J5" s="84" t="s">
        <v>161</v>
      </c>
      <c r="K5" s="84" t="s">
        <v>152</v>
      </c>
      <c r="L5" s="84">
        <v>2</v>
      </c>
      <c r="M5" s="84">
        <v>2</v>
      </c>
      <c r="N5" s="84">
        <v>1</v>
      </c>
      <c r="O5" s="84">
        <v>2</v>
      </c>
      <c r="P5" s="84">
        <v>2</v>
      </c>
      <c r="Q5" s="84">
        <v>3</v>
      </c>
      <c r="R5" s="18">
        <v>2</v>
      </c>
      <c r="S5" s="18">
        <v>2</v>
      </c>
      <c r="T5" s="18">
        <v>1</v>
      </c>
      <c r="U5" s="18">
        <v>2</v>
      </c>
      <c r="V5" s="18">
        <v>2</v>
      </c>
      <c r="W5" s="18">
        <v>3</v>
      </c>
      <c r="X5" s="18">
        <v>3</v>
      </c>
    </row>
    <row r="6" spans="1:24" x14ac:dyDescent="0.25">
      <c r="A6" s="18" t="s">
        <v>171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75">
        <f>SUM(A6:G6)</f>
        <v>0</v>
      </c>
      <c r="J6" s="84" t="s">
        <v>161</v>
      </c>
      <c r="K6" s="84" t="s">
        <v>161</v>
      </c>
      <c r="L6" s="84" t="s">
        <v>161</v>
      </c>
      <c r="M6" s="84" t="s">
        <v>161</v>
      </c>
      <c r="N6" s="84" t="s">
        <v>161</v>
      </c>
      <c r="O6" s="84" t="s">
        <v>161</v>
      </c>
      <c r="P6" s="84" t="s">
        <v>161</v>
      </c>
      <c r="Q6" s="84" t="s">
        <v>161</v>
      </c>
    </row>
    <row r="7" spans="1:24" x14ac:dyDescent="0.25">
      <c r="A7" s="5" t="s">
        <v>25</v>
      </c>
      <c r="B7" s="5">
        <v>87</v>
      </c>
      <c r="C7" s="5">
        <v>20</v>
      </c>
      <c r="D7" s="5">
        <v>2</v>
      </c>
      <c r="E7" s="5">
        <v>2</v>
      </c>
      <c r="F7" s="5">
        <v>0</v>
      </c>
      <c r="G7" s="5">
        <v>76</v>
      </c>
      <c r="H7" s="5">
        <v>0</v>
      </c>
      <c r="I7" s="5">
        <f t="shared" ref="I7:I36" si="0">SUM(A7:G7)</f>
        <v>187</v>
      </c>
      <c r="J7" s="84">
        <v>207</v>
      </c>
      <c r="K7" s="84">
        <v>205</v>
      </c>
      <c r="L7" s="84">
        <v>208</v>
      </c>
      <c r="M7" s="84">
        <v>229</v>
      </c>
      <c r="N7" s="84">
        <v>238</v>
      </c>
      <c r="O7" s="84">
        <v>235</v>
      </c>
      <c r="P7" s="84">
        <v>247</v>
      </c>
      <c r="Q7" s="84">
        <v>264</v>
      </c>
      <c r="R7" s="18">
        <v>208</v>
      </c>
      <c r="S7" s="18">
        <v>229</v>
      </c>
      <c r="T7" s="18">
        <v>238</v>
      </c>
      <c r="U7" s="18">
        <v>235</v>
      </c>
      <c r="V7" s="18">
        <v>247</v>
      </c>
      <c r="W7" s="18">
        <v>264</v>
      </c>
      <c r="X7" s="18">
        <v>335</v>
      </c>
    </row>
    <row r="8" spans="1:24" x14ac:dyDescent="0.25">
      <c r="A8" s="5" t="s">
        <v>177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2</v>
      </c>
      <c r="P8" s="84">
        <v>2</v>
      </c>
      <c r="Q8" s="84">
        <v>0</v>
      </c>
      <c r="R8" s="18">
        <v>0</v>
      </c>
      <c r="S8" s="18">
        <v>0</v>
      </c>
      <c r="T8" s="18">
        <v>0</v>
      </c>
      <c r="U8" s="18">
        <v>2</v>
      </c>
      <c r="V8" s="18">
        <v>2</v>
      </c>
      <c r="W8" s="18">
        <v>0</v>
      </c>
      <c r="X8" s="18">
        <v>0</v>
      </c>
    </row>
    <row r="9" spans="1:24" x14ac:dyDescent="0.25">
      <c r="A9" s="18" t="s">
        <v>148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  <c r="J9" s="84">
        <v>0</v>
      </c>
      <c r="K9" s="84">
        <v>1</v>
      </c>
      <c r="L9" s="84">
        <v>1</v>
      </c>
      <c r="M9" s="84">
        <v>2</v>
      </c>
      <c r="N9" s="84">
        <v>1</v>
      </c>
      <c r="O9" s="84">
        <v>0</v>
      </c>
      <c r="P9" s="84">
        <v>0</v>
      </c>
      <c r="Q9" s="84">
        <v>0</v>
      </c>
      <c r="R9" s="18">
        <v>1</v>
      </c>
      <c r="S9" s="18">
        <v>2</v>
      </c>
      <c r="T9" s="18">
        <v>1</v>
      </c>
      <c r="U9" s="18">
        <v>0</v>
      </c>
      <c r="V9" s="18">
        <v>0</v>
      </c>
      <c r="W9" s="18">
        <v>0</v>
      </c>
      <c r="X9" s="18">
        <v>0</v>
      </c>
    </row>
    <row r="10" spans="1:24" x14ac:dyDescent="0.25">
      <c r="A10" s="5" t="s">
        <v>149</v>
      </c>
      <c r="B10" s="5">
        <v>2</v>
      </c>
      <c r="C10" s="5">
        <v>3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5</v>
      </c>
      <c r="J10" s="84">
        <v>5</v>
      </c>
      <c r="K10" s="84">
        <v>5</v>
      </c>
      <c r="L10" s="84">
        <v>4</v>
      </c>
      <c r="M10" s="84">
        <v>5</v>
      </c>
      <c r="N10" s="84">
        <v>5</v>
      </c>
      <c r="O10" s="84">
        <v>6</v>
      </c>
      <c r="P10" s="84">
        <v>6</v>
      </c>
      <c r="Q10" s="84">
        <v>6</v>
      </c>
      <c r="R10" s="18">
        <v>4</v>
      </c>
      <c r="S10" s="18">
        <v>5</v>
      </c>
      <c r="T10" s="18">
        <v>5</v>
      </c>
      <c r="U10" s="18">
        <v>6</v>
      </c>
      <c r="V10" s="18">
        <v>6</v>
      </c>
      <c r="W10" s="18">
        <v>6</v>
      </c>
      <c r="X10" s="18">
        <v>6</v>
      </c>
    </row>
    <row r="11" spans="1:24" x14ac:dyDescent="0.25">
      <c r="A11" s="5" t="s">
        <v>116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</row>
    <row r="12" spans="1:24" x14ac:dyDescent="0.25">
      <c r="A12" s="5" t="s">
        <v>26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  <c r="J12" s="84">
        <v>0</v>
      </c>
      <c r="K12" s="84">
        <v>20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</row>
    <row r="13" spans="1:24" ht="12" customHeight="1" x14ac:dyDescent="0.25">
      <c r="A13" s="5" t="s">
        <v>27</v>
      </c>
      <c r="B13" s="5">
        <v>0</v>
      </c>
      <c r="C13" s="5">
        <v>1</v>
      </c>
      <c r="D13" s="5">
        <v>0</v>
      </c>
      <c r="E13" s="5">
        <v>0</v>
      </c>
      <c r="F13" s="5">
        <v>1</v>
      </c>
      <c r="G13" s="5">
        <v>9</v>
      </c>
      <c r="H13" s="5">
        <v>0</v>
      </c>
      <c r="I13" s="5">
        <f t="shared" si="0"/>
        <v>11</v>
      </c>
      <c r="J13" s="84">
        <v>12</v>
      </c>
      <c r="K13" s="84">
        <v>12</v>
      </c>
      <c r="L13" s="84">
        <v>12</v>
      </c>
      <c r="M13" s="84">
        <v>11</v>
      </c>
      <c r="N13" s="84">
        <v>11</v>
      </c>
      <c r="O13" s="84">
        <v>12</v>
      </c>
      <c r="P13" s="84">
        <v>13</v>
      </c>
      <c r="Q13" s="84">
        <v>13</v>
      </c>
      <c r="R13" s="18">
        <v>12</v>
      </c>
      <c r="S13" s="18">
        <v>11</v>
      </c>
      <c r="T13" s="18">
        <v>11</v>
      </c>
      <c r="U13" s="18">
        <v>12</v>
      </c>
      <c r="V13" s="18">
        <v>13</v>
      </c>
      <c r="W13" s="18">
        <v>13</v>
      </c>
      <c r="X13" s="18">
        <v>13</v>
      </c>
    </row>
    <row r="14" spans="1:24" x14ac:dyDescent="0.25">
      <c r="A14" s="5" t="s">
        <v>70</v>
      </c>
      <c r="B14" s="5">
        <v>35</v>
      </c>
      <c r="C14" s="5">
        <v>3</v>
      </c>
      <c r="D14" s="5">
        <v>0</v>
      </c>
      <c r="E14" s="5">
        <v>0</v>
      </c>
      <c r="F14" s="5">
        <v>0</v>
      </c>
      <c r="G14" s="5">
        <v>7</v>
      </c>
      <c r="H14" s="5">
        <v>0</v>
      </c>
      <c r="I14" s="5">
        <f t="shared" si="0"/>
        <v>45</v>
      </c>
      <c r="J14" s="84">
        <v>41</v>
      </c>
      <c r="K14" s="84">
        <v>44</v>
      </c>
      <c r="L14" s="84">
        <v>43</v>
      </c>
      <c r="M14" s="84">
        <v>46</v>
      </c>
      <c r="N14" s="84">
        <v>41</v>
      </c>
      <c r="O14" s="84">
        <v>33</v>
      </c>
      <c r="P14" s="84">
        <v>39</v>
      </c>
      <c r="Q14" s="84">
        <v>41</v>
      </c>
      <c r="R14" s="18">
        <v>43</v>
      </c>
      <c r="S14" s="18">
        <v>46</v>
      </c>
      <c r="T14" s="18">
        <v>41</v>
      </c>
      <c r="U14" s="18">
        <v>33</v>
      </c>
      <c r="V14" s="18">
        <v>39</v>
      </c>
      <c r="W14" s="18">
        <v>41</v>
      </c>
      <c r="X14" s="18">
        <v>39</v>
      </c>
    </row>
    <row r="15" spans="1:24" x14ac:dyDescent="0.25">
      <c r="A15" s="5" t="s">
        <v>109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</row>
    <row r="16" spans="1:24" x14ac:dyDescent="0.25">
      <c r="A16" s="5" t="s">
        <v>73</v>
      </c>
      <c r="B16" s="5">
        <v>7</v>
      </c>
      <c r="C16" s="5">
        <v>1</v>
      </c>
      <c r="D16" s="5">
        <v>0</v>
      </c>
      <c r="E16" s="5">
        <v>0</v>
      </c>
      <c r="F16" s="5">
        <v>0</v>
      </c>
      <c r="G16" s="5">
        <v>2</v>
      </c>
      <c r="H16" s="5">
        <v>0</v>
      </c>
      <c r="I16" s="5">
        <f t="shared" si="0"/>
        <v>10</v>
      </c>
      <c r="J16" s="84">
        <v>7</v>
      </c>
      <c r="K16" s="84">
        <v>5</v>
      </c>
      <c r="L16" s="84">
        <v>8</v>
      </c>
      <c r="M16" s="84">
        <v>12</v>
      </c>
      <c r="N16" s="84">
        <v>12</v>
      </c>
      <c r="O16" s="84">
        <v>7</v>
      </c>
      <c r="P16" s="84">
        <v>9</v>
      </c>
      <c r="Q16" s="84">
        <v>9</v>
      </c>
      <c r="R16" s="18">
        <v>8</v>
      </c>
      <c r="S16" s="18">
        <v>12</v>
      </c>
      <c r="T16" s="18">
        <v>12</v>
      </c>
      <c r="U16" s="18">
        <v>7</v>
      </c>
      <c r="V16" s="18">
        <v>9</v>
      </c>
      <c r="W16" s="18">
        <v>9</v>
      </c>
      <c r="X16" s="18">
        <v>9</v>
      </c>
    </row>
    <row r="17" spans="1:24" x14ac:dyDescent="0.25">
      <c r="A17" s="5" t="s">
        <v>77</v>
      </c>
      <c r="B17" s="5">
        <v>0</v>
      </c>
      <c r="C17" s="5">
        <v>0</v>
      </c>
      <c r="D17" s="5">
        <v>2</v>
      </c>
      <c r="E17" s="5">
        <v>0</v>
      </c>
      <c r="F17" s="5">
        <v>0</v>
      </c>
      <c r="G17" s="5">
        <v>2</v>
      </c>
      <c r="H17" s="5">
        <v>0</v>
      </c>
      <c r="I17" s="5">
        <f t="shared" si="0"/>
        <v>4</v>
      </c>
      <c r="J17" s="84">
        <v>5</v>
      </c>
      <c r="K17" s="84">
        <v>7</v>
      </c>
      <c r="L17" s="84">
        <v>7</v>
      </c>
      <c r="M17" s="84">
        <v>7</v>
      </c>
      <c r="N17" s="84">
        <v>5</v>
      </c>
      <c r="O17" s="84">
        <v>7</v>
      </c>
      <c r="P17" s="84">
        <v>9</v>
      </c>
      <c r="Q17" s="84">
        <v>5</v>
      </c>
      <c r="R17" s="18">
        <v>7</v>
      </c>
      <c r="S17" s="18">
        <v>7</v>
      </c>
      <c r="T17" s="18">
        <v>5</v>
      </c>
      <c r="U17" s="18">
        <v>7</v>
      </c>
      <c r="V17" s="18">
        <v>9</v>
      </c>
      <c r="W17" s="18">
        <v>5</v>
      </c>
      <c r="X17" s="18">
        <v>7</v>
      </c>
    </row>
    <row r="18" spans="1:24" x14ac:dyDescent="0.25">
      <c r="A18" s="18" t="s">
        <v>71</v>
      </c>
      <c r="B18" s="5">
        <v>2</v>
      </c>
      <c r="C18" s="5">
        <v>1</v>
      </c>
      <c r="D18" s="5">
        <v>2</v>
      </c>
      <c r="E18" s="5">
        <v>2</v>
      </c>
      <c r="F18" s="5">
        <v>4</v>
      </c>
      <c r="G18" s="5">
        <v>6</v>
      </c>
      <c r="H18" s="5">
        <v>0</v>
      </c>
      <c r="I18" s="5">
        <f>SUM(A18:G18)</f>
        <v>17</v>
      </c>
      <c r="J18" s="84">
        <v>19</v>
      </c>
      <c r="K18" s="84">
        <v>25</v>
      </c>
      <c r="L18" s="84">
        <v>29</v>
      </c>
      <c r="M18" s="84">
        <v>28</v>
      </c>
      <c r="N18" s="84">
        <v>24</v>
      </c>
      <c r="O18" s="84">
        <v>22</v>
      </c>
      <c r="P18" s="84">
        <v>24</v>
      </c>
      <c r="Q18" s="84">
        <v>19</v>
      </c>
      <c r="R18" s="18">
        <v>29</v>
      </c>
      <c r="S18" s="18">
        <v>28</v>
      </c>
      <c r="T18" s="18">
        <v>24</v>
      </c>
      <c r="U18" s="18">
        <v>22</v>
      </c>
      <c r="V18" s="18">
        <v>24</v>
      </c>
      <c r="W18" s="18">
        <v>19</v>
      </c>
      <c r="X18" s="18">
        <v>22</v>
      </c>
    </row>
    <row r="19" spans="1:24" x14ac:dyDescent="0.25">
      <c r="A19" s="5" t="s">
        <v>75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</row>
    <row r="20" spans="1:24" x14ac:dyDescent="0.25">
      <c r="A20" s="5" t="s">
        <v>28</v>
      </c>
      <c r="B20" s="5">
        <v>1</v>
      </c>
      <c r="C20" s="5">
        <v>0</v>
      </c>
      <c r="D20" s="5">
        <v>0</v>
      </c>
      <c r="E20" s="5">
        <v>3</v>
      </c>
      <c r="F20" s="5">
        <v>1</v>
      </c>
      <c r="G20" s="5">
        <v>0</v>
      </c>
      <c r="H20" s="5">
        <v>0</v>
      </c>
      <c r="I20" s="5">
        <f t="shared" si="0"/>
        <v>5</v>
      </c>
      <c r="J20" s="84">
        <v>8</v>
      </c>
      <c r="K20" s="84">
        <v>6</v>
      </c>
      <c r="L20" s="84">
        <v>9</v>
      </c>
      <c r="M20" s="84">
        <v>9</v>
      </c>
      <c r="N20" s="84">
        <v>9</v>
      </c>
      <c r="O20" s="84">
        <v>9</v>
      </c>
      <c r="P20" s="84">
        <v>10</v>
      </c>
      <c r="Q20" s="84">
        <v>14</v>
      </c>
      <c r="R20" s="18">
        <v>9</v>
      </c>
      <c r="S20" s="18">
        <v>9</v>
      </c>
      <c r="T20" s="18">
        <v>9</v>
      </c>
      <c r="U20" s="18">
        <v>9</v>
      </c>
      <c r="V20" s="18">
        <v>10</v>
      </c>
      <c r="W20" s="18">
        <v>14</v>
      </c>
      <c r="X20" s="18">
        <v>14</v>
      </c>
    </row>
    <row r="21" spans="1:24" ht="13.2" hidden="1" customHeight="1" x14ac:dyDescent="0.25">
      <c r="A21" s="32"/>
      <c r="B21" s="32"/>
      <c r="C21" s="32"/>
      <c r="D21" s="32"/>
      <c r="E21" s="32"/>
      <c r="F21" s="32"/>
      <c r="G21" s="32"/>
      <c r="H21" s="32"/>
      <c r="I21" s="32">
        <f t="shared" si="0"/>
        <v>0</v>
      </c>
      <c r="J21" s="84" t="s">
        <v>152</v>
      </c>
      <c r="K21" s="84">
        <v>0</v>
      </c>
      <c r="L21" s="84"/>
      <c r="M21" s="84"/>
      <c r="N21" s="84"/>
      <c r="O21" s="84"/>
      <c r="P21" s="84"/>
      <c r="Q21" s="84"/>
    </row>
    <row r="22" spans="1:24" x14ac:dyDescent="0.25">
      <c r="A22" s="5" t="s">
        <v>147</v>
      </c>
      <c r="B22" s="5" t="s">
        <v>161</v>
      </c>
      <c r="C22" s="5" t="s">
        <v>161</v>
      </c>
      <c r="D22" s="5" t="s">
        <v>161</v>
      </c>
      <c r="E22" s="5" t="s">
        <v>161</v>
      </c>
      <c r="F22" s="5" t="s">
        <v>161</v>
      </c>
      <c r="G22" s="5" t="s">
        <v>161</v>
      </c>
      <c r="H22" s="5" t="s">
        <v>161</v>
      </c>
      <c r="I22" s="5" t="s">
        <v>152</v>
      </c>
      <c r="J22" s="84" t="s">
        <v>161</v>
      </c>
      <c r="K22" s="84" t="s">
        <v>152</v>
      </c>
      <c r="L22" s="84">
        <v>2</v>
      </c>
      <c r="M22" s="84">
        <v>1</v>
      </c>
      <c r="N22" s="84">
        <v>2</v>
      </c>
      <c r="O22" s="84">
        <v>1</v>
      </c>
      <c r="P22" s="84">
        <v>2</v>
      </c>
      <c r="Q22" s="84">
        <v>2</v>
      </c>
      <c r="R22" s="18">
        <v>2</v>
      </c>
      <c r="S22" s="18">
        <v>1</v>
      </c>
      <c r="T22" s="18">
        <v>2</v>
      </c>
      <c r="U22" s="18">
        <v>1</v>
      </c>
      <c r="V22" s="18">
        <v>2</v>
      </c>
      <c r="W22" s="18">
        <v>2</v>
      </c>
      <c r="X22" s="18">
        <v>2</v>
      </c>
    </row>
    <row r="23" spans="1:24" s="5" customFormat="1" x14ac:dyDescent="0.25">
      <c r="A23" s="5" t="s">
        <v>61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f t="shared" si="0"/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</row>
    <row r="24" spans="1:24" x14ac:dyDescent="0.25">
      <c r="A24" s="5" t="s">
        <v>178</v>
      </c>
      <c r="B24" s="5">
        <v>23</v>
      </c>
      <c r="C24" s="5">
        <v>7</v>
      </c>
      <c r="D24" s="5">
        <v>4</v>
      </c>
      <c r="E24" s="5">
        <v>0</v>
      </c>
      <c r="F24" s="5">
        <v>0</v>
      </c>
      <c r="G24" s="5">
        <v>15</v>
      </c>
      <c r="H24" s="5">
        <v>0</v>
      </c>
      <c r="I24" s="5">
        <f t="shared" si="0"/>
        <v>49</v>
      </c>
      <c r="J24" s="84">
        <v>64</v>
      </c>
      <c r="K24" s="84">
        <v>63</v>
      </c>
      <c r="L24" s="84">
        <v>63</v>
      </c>
      <c r="M24" s="84">
        <v>68</v>
      </c>
      <c r="N24" s="84">
        <v>72</v>
      </c>
      <c r="O24" s="84">
        <v>72</v>
      </c>
      <c r="P24" s="84">
        <v>76</v>
      </c>
      <c r="Q24" s="84">
        <v>74</v>
      </c>
      <c r="R24" s="18">
        <v>63</v>
      </c>
      <c r="S24" s="18">
        <v>68</v>
      </c>
      <c r="T24" s="18">
        <v>72</v>
      </c>
      <c r="U24" s="18">
        <v>72</v>
      </c>
      <c r="V24" s="18">
        <v>76</v>
      </c>
      <c r="W24" s="18">
        <v>74</v>
      </c>
      <c r="X24" s="18">
        <v>79</v>
      </c>
    </row>
    <row r="25" spans="1:24" ht="13.2" hidden="1" customHeight="1" x14ac:dyDescent="0.25">
      <c r="A25" s="32" t="s">
        <v>29</v>
      </c>
      <c r="B25" s="32"/>
      <c r="C25" s="32"/>
      <c r="D25" s="32"/>
      <c r="E25" s="32"/>
      <c r="F25" s="32"/>
      <c r="G25" s="32"/>
      <c r="H25" s="32"/>
      <c r="I25" s="32">
        <f t="shared" si="0"/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/>
      <c r="P25" s="84">
        <v>0</v>
      </c>
      <c r="Q25" s="84">
        <v>0</v>
      </c>
      <c r="R25" s="18">
        <v>0</v>
      </c>
      <c r="S25" s="18">
        <v>0</v>
      </c>
      <c r="T25" s="18">
        <v>0</v>
      </c>
      <c r="V25" s="18">
        <v>0</v>
      </c>
      <c r="W25" s="18">
        <v>0</v>
      </c>
      <c r="X25" s="18">
        <v>0</v>
      </c>
    </row>
    <row r="26" spans="1:24" ht="13.5" customHeight="1" x14ac:dyDescent="0.25">
      <c r="A26" s="5" t="s">
        <v>160</v>
      </c>
      <c r="B26" s="5" t="s">
        <v>161</v>
      </c>
      <c r="C26" s="5" t="s">
        <v>161</v>
      </c>
      <c r="D26" s="5" t="s">
        <v>161</v>
      </c>
      <c r="E26" s="5" t="s">
        <v>161</v>
      </c>
      <c r="F26" s="5" t="s">
        <v>161</v>
      </c>
      <c r="G26" s="5" t="s">
        <v>161</v>
      </c>
      <c r="H26" s="5" t="s">
        <v>161</v>
      </c>
      <c r="I26" s="5">
        <f t="shared" si="0"/>
        <v>0</v>
      </c>
      <c r="J26" s="84">
        <v>0</v>
      </c>
      <c r="K26" s="84">
        <v>0</v>
      </c>
      <c r="L26" s="84">
        <v>0</v>
      </c>
      <c r="M26" s="84">
        <v>1</v>
      </c>
      <c r="N26" s="84">
        <v>0</v>
      </c>
      <c r="O26" s="84">
        <v>0</v>
      </c>
      <c r="P26" s="84">
        <v>0</v>
      </c>
      <c r="Q26" s="84">
        <v>1</v>
      </c>
      <c r="R26" s="18">
        <v>0</v>
      </c>
      <c r="S26" s="18">
        <v>1</v>
      </c>
      <c r="T26" s="18">
        <v>0</v>
      </c>
      <c r="U26" s="18">
        <v>0</v>
      </c>
      <c r="V26" s="18">
        <v>0</v>
      </c>
      <c r="W26" s="18">
        <v>1</v>
      </c>
      <c r="X26" s="18">
        <v>1</v>
      </c>
    </row>
    <row r="27" spans="1:24" x14ac:dyDescent="0.25">
      <c r="A27" s="5" t="s">
        <v>30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</row>
    <row r="28" spans="1:24" x14ac:dyDescent="0.25">
      <c r="A28" s="5" t="s">
        <v>31</v>
      </c>
      <c r="B28" s="5">
        <v>8</v>
      </c>
      <c r="C28" s="5">
        <v>8</v>
      </c>
      <c r="D28" s="5">
        <v>0</v>
      </c>
      <c r="E28" s="5">
        <v>0</v>
      </c>
      <c r="F28" s="5">
        <v>0</v>
      </c>
      <c r="G28" s="5">
        <v>9</v>
      </c>
      <c r="H28" s="5"/>
      <c r="I28" s="5">
        <f t="shared" si="0"/>
        <v>25</v>
      </c>
      <c r="J28" s="84">
        <v>25</v>
      </c>
      <c r="K28" s="84">
        <v>22</v>
      </c>
      <c r="L28" s="84">
        <v>21</v>
      </c>
      <c r="M28" s="84">
        <v>24</v>
      </c>
      <c r="N28" s="84">
        <v>25</v>
      </c>
      <c r="O28" s="84">
        <v>26</v>
      </c>
      <c r="P28" s="84">
        <v>32</v>
      </c>
      <c r="Q28" s="84">
        <v>30</v>
      </c>
      <c r="R28" s="18">
        <v>21</v>
      </c>
      <c r="S28" s="18">
        <v>24</v>
      </c>
      <c r="T28" s="18">
        <v>25</v>
      </c>
      <c r="U28" s="18">
        <v>26</v>
      </c>
      <c r="V28" s="18">
        <v>32</v>
      </c>
      <c r="W28" s="18">
        <v>30</v>
      </c>
      <c r="X28" s="18">
        <v>29</v>
      </c>
    </row>
    <row r="29" spans="1:24" x14ac:dyDescent="0.25">
      <c r="A29" s="18" t="s">
        <v>32</v>
      </c>
      <c r="B29" s="5">
        <v>1</v>
      </c>
      <c r="C29" s="5">
        <v>2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3</v>
      </c>
      <c r="J29" s="84">
        <v>3</v>
      </c>
      <c r="K29" s="84">
        <v>4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</row>
    <row r="30" spans="1:24" x14ac:dyDescent="0.25">
      <c r="A30" s="18" t="s">
        <v>33</v>
      </c>
      <c r="B30" s="5">
        <v>38</v>
      </c>
      <c r="C30" s="5">
        <v>39</v>
      </c>
      <c r="D30" s="5">
        <v>3</v>
      </c>
      <c r="E30" s="5">
        <v>3</v>
      </c>
      <c r="F30" s="5">
        <v>0</v>
      </c>
      <c r="G30" s="5">
        <v>8</v>
      </c>
      <c r="H30" s="5">
        <v>0</v>
      </c>
      <c r="I30" s="5">
        <f t="shared" si="0"/>
        <v>91</v>
      </c>
      <c r="J30" s="84">
        <v>90</v>
      </c>
      <c r="K30" s="84">
        <v>100</v>
      </c>
      <c r="L30" s="84">
        <v>123</v>
      </c>
      <c r="M30" s="84">
        <v>145</v>
      </c>
      <c r="N30" s="84">
        <v>154</v>
      </c>
      <c r="O30" s="84">
        <v>184</v>
      </c>
      <c r="P30" s="84">
        <v>192</v>
      </c>
      <c r="Q30" s="84">
        <v>189</v>
      </c>
      <c r="R30" s="18">
        <v>123</v>
      </c>
      <c r="S30" s="18">
        <v>145</v>
      </c>
      <c r="T30" s="18">
        <v>154</v>
      </c>
      <c r="U30" s="18">
        <v>184</v>
      </c>
      <c r="V30" s="18">
        <v>192</v>
      </c>
      <c r="W30" s="18">
        <v>189</v>
      </c>
      <c r="X30" s="18">
        <v>191</v>
      </c>
    </row>
    <row r="31" spans="1:24" x14ac:dyDescent="0.25">
      <c r="A31" s="18" t="s">
        <v>34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</row>
    <row r="32" spans="1:24" x14ac:dyDescent="0.25">
      <c r="A32" s="18" t="s">
        <v>35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  <c r="J32" s="84">
        <v>0</v>
      </c>
      <c r="K32" s="84">
        <v>0</v>
      </c>
      <c r="L32" s="84">
        <v>2</v>
      </c>
      <c r="M32" s="84">
        <v>2</v>
      </c>
      <c r="N32" s="84">
        <v>2</v>
      </c>
      <c r="O32" s="84">
        <v>2</v>
      </c>
      <c r="P32" s="84">
        <v>0</v>
      </c>
      <c r="Q32" s="84">
        <v>0</v>
      </c>
      <c r="R32" s="18">
        <v>2</v>
      </c>
      <c r="S32" s="18">
        <v>2</v>
      </c>
      <c r="T32" s="18">
        <v>2</v>
      </c>
      <c r="U32" s="18">
        <v>2</v>
      </c>
      <c r="V32" s="18">
        <v>0</v>
      </c>
      <c r="W32" s="18">
        <v>0</v>
      </c>
      <c r="X32" s="18">
        <v>0</v>
      </c>
    </row>
    <row r="33" spans="1:25" s="5" customFormat="1" x14ac:dyDescent="0.25">
      <c r="A33" s="5" t="s">
        <v>60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</row>
    <row r="34" spans="1:25" x14ac:dyDescent="0.25">
      <c r="A34" s="5" t="s">
        <v>132</v>
      </c>
      <c r="B34" s="5">
        <v>7</v>
      </c>
      <c r="C34" s="5">
        <v>2</v>
      </c>
      <c r="D34" s="5">
        <v>1</v>
      </c>
      <c r="E34" s="5">
        <v>2</v>
      </c>
      <c r="F34" s="5">
        <v>1</v>
      </c>
      <c r="G34" s="5">
        <v>6</v>
      </c>
      <c r="H34" s="5">
        <v>0</v>
      </c>
      <c r="I34" s="5">
        <f t="shared" si="0"/>
        <v>19</v>
      </c>
      <c r="J34" s="84">
        <v>22</v>
      </c>
      <c r="K34" s="84">
        <v>29</v>
      </c>
      <c r="L34" s="84">
        <v>33</v>
      </c>
      <c r="M34" s="84">
        <v>33</v>
      </c>
      <c r="N34" s="84">
        <v>34</v>
      </c>
      <c r="O34" s="84">
        <v>34</v>
      </c>
      <c r="P34" s="84">
        <v>30</v>
      </c>
      <c r="Q34" s="84">
        <v>29</v>
      </c>
      <c r="R34" s="18">
        <v>33</v>
      </c>
      <c r="S34" s="18">
        <v>33</v>
      </c>
      <c r="T34" s="18">
        <v>34</v>
      </c>
      <c r="U34" s="18">
        <v>34</v>
      </c>
      <c r="V34" s="18">
        <v>30</v>
      </c>
      <c r="W34" s="18">
        <v>29</v>
      </c>
      <c r="X34" s="18">
        <v>29</v>
      </c>
    </row>
    <row r="35" spans="1:25" x14ac:dyDescent="0.25">
      <c r="A35" s="5" t="s">
        <v>110</v>
      </c>
      <c r="B35" s="5">
        <v>2</v>
      </c>
      <c r="C35" s="5">
        <v>9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11</v>
      </c>
      <c r="J35" s="84">
        <v>11</v>
      </c>
      <c r="K35" s="84">
        <v>15</v>
      </c>
      <c r="L35" s="84">
        <v>12</v>
      </c>
      <c r="M35" s="84">
        <v>13</v>
      </c>
      <c r="N35" s="84">
        <v>10</v>
      </c>
      <c r="O35" s="84">
        <v>7</v>
      </c>
      <c r="P35" s="84">
        <v>7</v>
      </c>
      <c r="Q35" s="84">
        <v>8</v>
      </c>
      <c r="R35" s="18">
        <v>12</v>
      </c>
      <c r="S35" s="18">
        <v>13</v>
      </c>
      <c r="T35" s="18">
        <v>10</v>
      </c>
      <c r="U35" s="18">
        <v>7</v>
      </c>
      <c r="V35" s="18">
        <v>7</v>
      </c>
      <c r="W35" s="18">
        <v>8</v>
      </c>
      <c r="X35" s="18">
        <v>8</v>
      </c>
    </row>
    <row r="36" spans="1:25" x14ac:dyDescent="0.25">
      <c r="A36" s="5" t="s">
        <v>36</v>
      </c>
      <c r="B36" s="5">
        <v>3</v>
      </c>
      <c r="C36" s="5">
        <v>0</v>
      </c>
      <c r="D36" s="5">
        <v>0</v>
      </c>
      <c r="E36" s="5">
        <v>0</v>
      </c>
      <c r="F36" s="5">
        <v>0</v>
      </c>
      <c r="G36" s="5">
        <v>1</v>
      </c>
      <c r="H36" s="5">
        <v>0</v>
      </c>
      <c r="I36" s="5">
        <f t="shared" si="0"/>
        <v>4</v>
      </c>
      <c r="J36" s="84">
        <v>6</v>
      </c>
      <c r="K36" s="84">
        <v>7</v>
      </c>
      <c r="L36" s="84">
        <v>6</v>
      </c>
      <c r="M36" s="84">
        <v>10</v>
      </c>
      <c r="N36" s="84">
        <v>14</v>
      </c>
      <c r="O36" s="84">
        <v>17</v>
      </c>
      <c r="P36" s="84">
        <v>21</v>
      </c>
      <c r="Q36" s="84">
        <v>16</v>
      </c>
      <c r="R36" s="18">
        <v>6</v>
      </c>
      <c r="S36" s="18">
        <v>10</v>
      </c>
      <c r="T36" s="18">
        <v>14</v>
      </c>
      <c r="U36" s="18">
        <v>17</v>
      </c>
      <c r="V36" s="18">
        <v>21</v>
      </c>
      <c r="W36" s="18">
        <v>16</v>
      </c>
      <c r="X36" s="18">
        <v>17</v>
      </c>
    </row>
    <row r="37" spans="1:25" x14ac:dyDescent="0.25">
      <c r="A37" s="18" t="s">
        <v>150</v>
      </c>
      <c r="B37" s="5">
        <v>0</v>
      </c>
      <c r="C37" s="5">
        <v>1</v>
      </c>
      <c r="D37" s="5">
        <v>0</v>
      </c>
      <c r="E37" s="5">
        <v>5</v>
      </c>
      <c r="F37" s="5">
        <v>6</v>
      </c>
      <c r="G37" s="5">
        <v>13</v>
      </c>
      <c r="H37" s="5">
        <v>0</v>
      </c>
      <c r="I37" s="5">
        <f>SUM(A37:G37)</f>
        <v>25</v>
      </c>
      <c r="J37" s="84">
        <v>9</v>
      </c>
      <c r="K37" s="84">
        <v>10</v>
      </c>
      <c r="L37" s="84">
        <v>7</v>
      </c>
      <c r="M37" s="84">
        <v>32</v>
      </c>
      <c r="N37" s="84">
        <v>29</v>
      </c>
      <c r="O37" s="84">
        <v>22</v>
      </c>
      <c r="P37" s="84">
        <v>24</v>
      </c>
      <c r="Q37" s="84">
        <v>19</v>
      </c>
      <c r="R37" s="18">
        <v>7</v>
      </c>
      <c r="S37" s="18">
        <v>32</v>
      </c>
      <c r="T37" s="18">
        <v>29</v>
      </c>
      <c r="U37" s="18">
        <v>22</v>
      </c>
      <c r="V37" s="18">
        <v>24</v>
      </c>
      <c r="W37" s="18">
        <v>19</v>
      </c>
      <c r="X37" s="18">
        <v>16</v>
      </c>
    </row>
    <row r="38" spans="1:25" s="23" customFormat="1" x14ac:dyDescent="0.25">
      <c r="A38" s="46" t="s">
        <v>54</v>
      </c>
      <c r="B38" s="23">
        <f>SUM(Table3[Column2])</f>
        <v>217</v>
      </c>
      <c r="C38" s="23">
        <f>SUM(Table3[Column3])</f>
        <v>97</v>
      </c>
      <c r="D38" s="23">
        <f>SUM(Table3[Column4])</f>
        <v>14</v>
      </c>
      <c r="E38" s="23">
        <f>SUM(Table3[Column5])</f>
        <v>17</v>
      </c>
      <c r="F38" s="23">
        <f>SUM(Table3[Column6])</f>
        <v>13</v>
      </c>
      <c r="G38" s="23">
        <f>SUM(Table3[Column7])</f>
        <v>154</v>
      </c>
      <c r="H38" s="23">
        <f>SUM(Table3[Column8])</f>
        <v>0</v>
      </c>
      <c r="I38" s="23">
        <f>SUM(Table3[Column82])</f>
        <v>512</v>
      </c>
      <c r="J38" s="83">
        <f>SUBTOTAL(109,Table3[Column822])</f>
        <v>534</v>
      </c>
      <c r="K38" s="83">
        <f>SUM(Table3[Column83])</f>
        <v>580</v>
      </c>
      <c r="L38" s="83">
        <f>SUM(Table3[Column9])</f>
        <v>592</v>
      </c>
      <c r="M38" s="83">
        <f>SUM(Table3[Column92])</f>
        <v>680</v>
      </c>
      <c r="N38" s="83">
        <f>SUM(Table3[Column10])</f>
        <v>689</v>
      </c>
      <c r="O38" s="83">
        <f>SUM(Table3[Column11])</f>
        <v>700</v>
      </c>
      <c r="P38" s="83">
        <f>SUM(Table3[Column12])</f>
        <v>745</v>
      </c>
      <c r="Q38" s="83">
        <f>SUM(Table3[Column13])</f>
        <v>742</v>
      </c>
      <c r="R38" s="23">
        <f>SUM(Table3[Column15])</f>
        <v>592</v>
      </c>
      <c r="S38" s="23">
        <f>SUM(Table3[Column16])</f>
        <v>680</v>
      </c>
      <c r="T38" s="23">
        <f>SUM(Table3[Column17])</f>
        <v>689</v>
      </c>
      <c r="U38" s="23">
        <f>SUM(Table3[Column18])</f>
        <v>700</v>
      </c>
      <c r="V38" s="23">
        <f>SUM(Table3[Column19])</f>
        <v>745</v>
      </c>
      <c r="W38" s="23">
        <f>SUM(Table3[Column20])</f>
        <v>742</v>
      </c>
      <c r="X38" s="23">
        <f>SUM(Table3[Column21])</f>
        <v>820</v>
      </c>
    </row>
    <row r="39" spans="1:25" x14ac:dyDescent="0.25">
      <c r="A39" s="18" t="s">
        <v>55</v>
      </c>
    </row>
    <row r="40" spans="1:25" x14ac:dyDescent="0.25">
      <c r="A40" s="18" t="s">
        <v>118</v>
      </c>
    </row>
    <row r="41" spans="1:25" x14ac:dyDescent="0.25"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</row>
    <row r="42" spans="1:25" x14ac:dyDescent="0.25">
      <c r="C42" s="116"/>
      <c r="D42" s="117"/>
      <c r="E42" s="117"/>
      <c r="F42" s="117"/>
      <c r="G42" s="117"/>
      <c r="H42" s="117"/>
      <c r="I42" s="117"/>
      <c r="J42" s="117"/>
      <c r="K42" s="62"/>
      <c r="L42" s="62"/>
      <c r="M42" s="62"/>
      <c r="N42" s="62"/>
      <c r="O42" s="62"/>
      <c r="P42" s="62"/>
      <c r="Q42" s="62"/>
      <c r="R42" s="116"/>
      <c r="S42" s="116"/>
      <c r="T42" s="116"/>
      <c r="U42" s="116"/>
      <c r="V42" s="116"/>
      <c r="W42" s="116"/>
      <c r="X42" s="116"/>
      <c r="Y42" s="116"/>
    </row>
    <row r="43" spans="1:25" x14ac:dyDescent="0.25">
      <c r="C43" s="116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116"/>
      <c r="S43" s="116"/>
      <c r="T43" s="116"/>
      <c r="U43" s="116"/>
      <c r="V43" s="116"/>
      <c r="W43" s="116"/>
      <c r="X43" s="116"/>
      <c r="Y43" s="116"/>
    </row>
    <row r="44" spans="1:25" x14ac:dyDescent="0.25">
      <c r="C44" s="116"/>
      <c r="D44" s="62"/>
      <c r="E44" s="118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116"/>
      <c r="S44" s="116"/>
      <c r="T44" s="116"/>
      <c r="U44" s="116"/>
      <c r="V44" s="116"/>
      <c r="W44" s="116"/>
      <c r="X44" s="116"/>
      <c r="Y44" s="116"/>
    </row>
    <row r="45" spans="1:25" x14ac:dyDescent="0.25"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</row>
    <row r="46" spans="1:25" x14ac:dyDescent="0.25"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</row>
  </sheetData>
  <pageMargins left="0.75" right="0.75" top="1" bottom="1" header="0.51180555555555551" footer="0.51180555555555551"/>
  <pageSetup paperSize="9" scale="62" firstPageNumber="0" fitToHeight="0" orientation="landscape" horizontalDpi="300" verticalDpi="300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4"/>
  <sheetViews>
    <sheetView topLeftCell="A2" zoomScale="70" zoomScaleNormal="70" workbookViewId="0">
      <pane xSplit="1" topLeftCell="B1" activePane="topRight" state="frozen"/>
      <selection pane="topRight" activeCell="A3" sqref="A3"/>
    </sheetView>
  </sheetViews>
  <sheetFormatPr defaultColWidth="9.109375" defaultRowHeight="13.2" x14ac:dyDescent="0.25"/>
  <cols>
    <col min="1" max="1" width="69.5546875" style="7" customWidth="1"/>
    <col min="2" max="3" width="10.77734375" style="13" customWidth="1"/>
    <col min="4" max="4" width="10.77734375" style="63" customWidth="1"/>
    <col min="5" max="10" width="10.77734375" style="7" customWidth="1"/>
    <col min="11" max="11" width="2.44140625" style="7" customWidth="1"/>
    <col min="12" max="12" width="10.77734375" style="13" customWidth="1"/>
    <col min="13" max="13" width="10.77734375" style="7" customWidth="1"/>
    <col min="14" max="14" width="10.77734375" style="13" customWidth="1"/>
    <col min="15" max="20" width="10.77734375" style="7" customWidth="1"/>
    <col min="21" max="21" width="4.88671875" style="7" customWidth="1"/>
    <col min="22" max="22" width="10.77734375" style="13" customWidth="1"/>
    <col min="23" max="24" width="10.77734375" style="7" customWidth="1"/>
    <col min="25" max="25" width="10.77734375" style="13" customWidth="1"/>
    <col min="26" max="26" width="10.77734375" style="7" customWidth="1"/>
    <col min="27" max="27" width="6.77734375" style="7" customWidth="1"/>
    <col min="28" max="30" width="10.77734375" style="13" customWidth="1"/>
    <col min="31" max="31" width="10.77734375" style="7" customWidth="1"/>
    <col min="32" max="16384" width="9.109375" style="7"/>
  </cols>
  <sheetData>
    <row r="1" spans="1:61" s="37" customFormat="1" x14ac:dyDescent="0.25">
      <c r="A1" s="36" t="s">
        <v>0</v>
      </c>
      <c r="B1" s="36"/>
      <c r="C1" s="36"/>
      <c r="D1" s="67"/>
      <c r="E1" s="36"/>
      <c r="F1" s="36"/>
      <c r="G1" s="36"/>
      <c r="H1" s="36"/>
      <c r="I1" s="36"/>
      <c r="J1" s="36"/>
      <c r="K1" s="36"/>
      <c r="L1" s="36"/>
      <c r="M1" s="36"/>
      <c r="N1" s="36"/>
      <c r="O1" s="36" t="s">
        <v>164</v>
      </c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61" s="36" customFormat="1" ht="17.25" customHeight="1" x14ac:dyDescent="0.25">
      <c r="D2" s="67"/>
      <c r="F2" s="36" t="s">
        <v>179</v>
      </c>
      <c r="L2" s="36" t="s">
        <v>56</v>
      </c>
      <c r="V2" s="36" t="s">
        <v>68</v>
      </c>
      <c r="AB2" s="36" t="s">
        <v>113</v>
      </c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</row>
    <row r="3" spans="1:61" s="9" customFormat="1" x14ac:dyDescent="0.25">
      <c r="A3" s="1"/>
      <c r="B3" s="1"/>
      <c r="C3" s="36"/>
      <c r="D3" s="67"/>
      <c r="E3" s="36"/>
      <c r="F3" s="36" t="s">
        <v>57</v>
      </c>
      <c r="G3" s="36"/>
      <c r="H3" s="36"/>
      <c r="I3" s="36"/>
      <c r="J3" s="36"/>
      <c r="K3" s="1"/>
      <c r="L3" s="1" t="s">
        <v>58</v>
      </c>
      <c r="M3" s="1"/>
      <c r="N3" s="1"/>
      <c r="O3" s="1"/>
      <c r="P3" s="1"/>
      <c r="Q3" s="1"/>
      <c r="R3" s="1"/>
      <c r="S3" s="1"/>
      <c r="T3" s="1"/>
      <c r="U3" s="1"/>
      <c r="V3" s="1" t="s">
        <v>67</v>
      </c>
      <c r="W3" s="1"/>
      <c r="X3" s="1"/>
      <c r="Y3" s="1"/>
      <c r="Z3" s="1"/>
      <c r="AA3" s="1"/>
      <c r="AB3" s="36" t="s">
        <v>130</v>
      </c>
      <c r="AC3" s="36"/>
      <c r="AD3" s="1"/>
      <c r="AE3" s="1"/>
    </row>
    <row r="4" spans="1:61" hidden="1" x14ac:dyDescent="0.25">
      <c r="A4" s="7" t="s">
        <v>79</v>
      </c>
      <c r="B4" s="13" t="s">
        <v>97</v>
      </c>
      <c r="C4" s="13" t="s">
        <v>96</v>
      </c>
      <c r="D4" s="63" t="s">
        <v>95</v>
      </c>
      <c r="E4" s="8" t="s">
        <v>80</v>
      </c>
      <c r="F4" s="6" t="s">
        <v>81</v>
      </c>
      <c r="G4" s="8" t="s">
        <v>82</v>
      </c>
      <c r="H4" s="8" t="s">
        <v>83</v>
      </c>
      <c r="I4" s="8" t="s">
        <v>84</v>
      </c>
      <c r="J4" s="8" t="s">
        <v>85</v>
      </c>
      <c r="K4" s="4" t="s">
        <v>86</v>
      </c>
      <c r="L4" s="4" t="s">
        <v>156</v>
      </c>
      <c r="M4" s="4" t="s">
        <v>128</v>
      </c>
      <c r="N4" s="12" t="s">
        <v>87</v>
      </c>
      <c r="O4" s="12" t="s">
        <v>105</v>
      </c>
      <c r="P4" s="8" t="s">
        <v>88</v>
      </c>
      <c r="Q4" s="8" t="s">
        <v>89</v>
      </c>
      <c r="R4" s="8" t="s">
        <v>90</v>
      </c>
      <c r="S4" s="8" t="s">
        <v>91</v>
      </c>
      <c r="T4" s="8" t="s">
        <v>92</v>
      </c>
      <c r="U4" s="4" t="s">
        <v>93</v>
      </c>
      <c r="V4" s="4" t="s">
        <v>157</v>
      </c>
      <c r="W4" s="4" t="s">
        <v>129</v>
      </c>
      <c r="X4" s="4" t="s">
        <v>106</v>
      </c>
      <c r="Y4" s="4" t="s">
        <v>168</v>
      </c>
      <c r="Z4" s="8" t="s">
        <v>94</v>
      </c>
      <c r="AA4" s="4"/>
      <c r="AB4" s="4"/>
      <c r="AC4" s="4"/>
      <c r="AD4" s="4"/>
      <c r="AF4" s="5"/>
      <c r="AG4" s="5"/>
      <c r="AH4" s="5"/>
    </row>
    <row r="5" spans="1:61" s="13" customFormat="1" x14ac:dyDescent="0.25">
      <c r="A5" s="30" t="s">
        <v>69</v>
      </c>
      <c r="B5" s="66">
        <v>43465</v>
      </c>
      <c r="C5" s="88">
        <v>43100</v>
      </c>
      <c r="D5" s="89" t="s">
        <v>145</v>
      </c>
      <c r="E5" s="88" t="s">
        <v>112</v>
      </c>
      <c r="F5" s="88" t="s">
        <v>119</v>
      </c>
      <c r="G5" s="88" t="s">
        <v>120</v>
      </c>
      <c r="H5" s="88" t="s">
        <v>121</v>
      </c>
      <c r="I5" s="88" t="s">
        <v>122</v>
      </c>
      <c r="J5" s="90" t="s">
        <v>123</v>
      </c>
      <c r="K5" s="4"/>
      <c r="L5" s="65">
        <v>43465</v>
      </c>
      <c r="M5" s="88">
        <v>43100</v>
      </c>
      <c r="N5" s="89" t="s">
        <v>145</v>
      </c>
      <c r="O5" s="89" t="s">
        <v>112</v>
      </c>
      <c r="P5" s="95" t="s">
        <v>66</v>
      </c>
      <c r="Q5" s="88" t="s">
        <v>120</v>
      </c>
      <c r="R5" s="88" t="s">
        <v>121</v>
      </c>
      <c r="S5" s="88" t="s">
        <v>122</v>
      </c>
      <c r="T5" s="90" t="s">
        <v>123</v>
      </c>
      <c r="U5" s="4"/>
      <c r="V5" s="66">
        <v>43465</v>
      </c>
      <c r="W5" s="88">
        <v>43100</v>
      </c>
      <c r="X5" s="89" t="s">
        <v>145</v>
      </c>
      <c r="Y5" s="89" t="s">
        <v>112</v>
      </c>
      <c r="Z5" s="90" t="s">
        <v>119</v>
      </c>
      <c r="AA5" s="4"/>
      <c r="AB5" s="59">
        <v>43465</v>
      </c>
      <c r="AC5" s="99">
        <v>43100</v>
      </c>
      <c r="AD5" s="99">
        <v>42735</v>
      </c>
      <c r="AE5" s="100" t="s">
        <v>112</v>
      </c>
      <c r="AF5" s="5"/>
      <c r="AG5" s="5"/>
      <c r="AH5" s="5"/>
    </row>
    <row r="6" spans="1:61" ht="13.8" thickBot="1" x14ac:dyDescent="0.3">
      <c r="A6" s="32"/>
      <c r="B6" s="15" t="s">
        <v>22</v>
      </c>
      <c r="C6" s="89" t="s">
        <v>43</v>
      </c>
      <c r="D6" s="91" t="s">
        <v>43</v>
      </c>
      <c r="E6" s="89" t="s">
        <v>22</v>
      </c>
      <c r="F6" s="89" t="s">
        <v>22</v>
      </c>
      <c r="G6" s="89" t="s">
        <v>22</v>
      </c>
      <c r="H6" s="89" t="s">
        <v>22</v>
      </c>
      <c r="I6" s="89" t="s">
        <v>22</v>
      </c>
      <c r="J6" s="89" t="s">
        <v>22</v>
      </c>
      <c r="K6" s="4"/>
      <c r="L6" s="18" t="s">
        <v>22</v>
      </c>
      <c r="M6" s="89" t="s">
        <v>43</v>
      </c>
      <c r="N6" s="89" t="s">
        <v>43</v>
      </c>
      <c r="O6" s="89" t="s">
        <v>43</v>
      </c>
      <c r="P6" s="89" t="s">
        <v>22</v>
      </c>
      <c r="Q6" s="89" t="s">
        <v>43</v>
      </c>
      <c r="R6" s="89" t="s">
        <v>22</v>
      </c>
      <c r="S6" s="89" t="s">
        <v>43</v>
      </c>
      <c r="T6" s="96" t="s">
        <v>22</v>
      </c>
      <c r="U6" s="4"/>
      <c r="V6" s="15" t="s">
        <v>22</v>
      </c>
      <c r="W6" s="89" t="s">
        <v>43</v>
      </c>
      <c r="X6" s="89" t="s">
        <v>43</v>
      </c>
      <c r="Y6" s="89" t="s">
        <v>43</v>
      </c>
      <c r="Z6" s="96" t="s">
        <v>43</v>
      </c>
      <c r="AA6" s="4"/>
      <c r="AB6" s="34" t="s">
        <v>43</v>
      </c>
      <c r="AC6" s="101" t="s">
        <v>22</v>
      </c>
      <c r="AD6" s="101" t="s">
        <v>43</v>
      </c>
      <c r="AE6" s="102" t="s">
        <v>43</v>
      </c>
      <c r="AF6" s="5"/>
      <c r="AG6" s="5"/>
      <c r="AH6" s="5"/>
    </row>
    <row r="7" spans="1:61" s="5" customFormat="1" x14ac:dyDescent="0.25">
      <c r="A7" s="5" t="s">
        <v>24</v>
      </c>
      <c r="B7" s="15">
        <v>0</v>
      </c>
      <c r="C7" s="89" t="s">
        <v>161</v>
      </c>
      <c r="D7" s="89" t="s">
        <v>152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26"/>
      <c r="L7" s="18">
        <v>0</v>
      </c>
      <c r="M7" s="89" t="s">
        <v>161</v>
      </c>
      <c r="N7" s="89" t="s">
        <v>152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26"/>
      <c r="V7" s="15">
        <v>0</v>
      </c>
      <c r="W7" s="89" t="s">
        <v>161</v>
      </c>
      <c r="X7" s="89" t="s">
        <v>152</v>
      </c>
      <c r="Y7" s="89">
        <v>0</v>
      </c>
      <c r="Z7" s="97">
        <v>0</v>
      </c>
      <c r="AA7" s="26"/>
      <c r="AB7" s="78">
        <v>0</v>
      </c>
      <c r="AC7" s="103" t="s">
        <v>161</v>
      </c>
      <c r="AD7" s="103" t="s">
        <v>152</v>
      </c>
      <c r="AE7" s="104">
        <v>10</v>
      </c>
    </row>
    <row r="8" spans="1:61" s="18" customFormat="1" x14ac:dyDescent="0.25">
      <c r="A8" s="18" t="s">
        <v>172</v>
      </c>
      <c r="B8" s="18">
        <v>0</v>
      </c>
      <c r="C8" s="89" t="s">
        <v>161</v>
      </c>
      <c r="D8" s="89" t="s">
        <v>161</v>
      </c>
      <c r="E8" s="89" t="s">
        <v>161</v>
      </c>
      <c r="F8" s="89" t="s">
        <v>161</v>
      </c>
      <c r="G8" s="89" t="s">
        <v>161</v>
      </c>
      <c r="H8" s="89" t="s">
        <v>161</v>
      </c>
      <c r="I8" s="89" t="s">
        <v>161</v>
      </c>
      <c r="J8" s="89" t="s">
        <v>161</v>
      </c>
      <c r="K8" s="26"/>
      <c r="L8" s="18">
        <v>0</v>
      </c>
      <c r="M8" s="89" t="s">
        <v>161</v>
      </c>
      <c r="N8" s="89" t="s">
        <v>161</v>
      </c>
      <c r="O8" s="89" t="s">
        <v>161</v>
      </c>
      <c r="P8" s="89" t="s">
        <v>161</v>
      </c>
      <c r="Q8" s="89" t="s">
        <v>161</v>
      </c>
      <c r="R8" s="89" t="s">
        <v>161</v>
      </c>
      <c r="S8" s="89" t="s">
        <v>161</v>
      </c>
      <c r="T8" s="89" t="s">
        <v>161</v>
      </c>
      <c r="U8" s="26"/>
      <c r="V8" s="18">
        <v>0</v>
      </c>
      <c r="W8" s="89" t="s">
        <v>161</v>
      </c>
      <c r="X8" s="89" t="s">
        <v>161</v>
      </c>
      <c r="Y8" s="89" t="s">
        <v>161</v>
      </c>
      <c r="Z8" s="89" t="s">
        <v>161</v>
      </c>
      <c r="AA8" s="26"/>
      <c r="AB8" s="80">
        <v>0</v>
      </c>
      <c r="AC8" s="105" t="s">
        <v>161</v>
      </c>
      <c r="AD8" s="105" t="s">
        <v>161</v>
      </c>
      <c r="AE8" s="106" t="s">
        <v>161</v>
      </c>
    </row>
    <row r="9" spans="1:61" s="15" customFormat="1" x14ac:dyDescent="0.25">
      <c r="A9" s="5" t="s">
        <v>25</v>
      </c>
      <c r="B9" s="15">
        <v>4</v>
      </c>
      <c r="C9" s="89">
        <v>14</v>
      </c>
      <c r="D9" s="89">
        <v>5</v>
      </c>
      <c r="E9" s="89">
        <v>14</v>
      </c>
      <c r="F9" s="89">
        <v>15</v>
      </c>
      <c r="G9" s="89">
        <v>21</v>
      </c>
      <c r="H9" s="89">
        <v>18</v>
      </c>
      <c r="I9" s="89">
        <v>14</v>
      </c>
      <c r="J9" s="89">
        <v>0</v>
      </c>
      <c r="K9" s="26"/>
      <c r="L9" s="18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26">
        <v>0</v>
      </c>
      <c r="V9" s="15">
        <v>11</v>
      </c>
      <c r="W9" s="89">
        <v>5</v>
      </c>
      <c r="X9" s="89">
        <v>11</v>
      </c>
      <c r="Y9" s="89">
        <v>3</v>
      </c>
      <c r="Z9" s="89">
        <v>10</v>
      </c>
      <c r="AA9" s="26"/>
      <c r="AB9" s="79">
        <v>18</v>
      </c>
      <c r="AC9" s="107">
        <v>20</v>
      </c>
      <c r="AD9" s="107">
        <v>13</v>
      </c>
      <c r="AE9" s="108">
        <v>10</v>
      </c>
    </row>
    <row r="10" spans="1:61" s="15" customFormat="1" x14ac:dyDescent="0.25">
      <c r="A10" s="5" t="s">
        <v>177</v>
      </c>
      <c r="B10" s="15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26"/>
      <c r="L10" s="18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26"/>
      <c r="V10" s="15">
        <v>0</v>
      </c>
      <c r="W10" s="89">
        <v>0</v>
      </c>
      <c r="X10" s="89">
        <v>0</v>
      </c>
      <c r="Y10" s="89">
        <v>0</v>
      </c>
      <c r="Z10" s="89">
        <v>0</v>
      </c>
      <c r="AA10" s="26"/>
      <c r="AB10" s="50">
        <v>0</v>
      </c>
      <c r="AC10" s="106">
        <v>0</v>
      </c>
      <c r="AD10" s="106">
        <v>0</v>
      </c>
      <c r="AE10" s="109">
        <v>0</v>
      </c>
    </row>
    <row r="11" spans="1:61" s="5" customFormat="1" x14ac:dyDescent="0.25">
      <c r="A11" s="18" t="s">
        <v>148</v>
      </c>
      <c r="B11" s="15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26"/>
      <c r="L11" s="18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26"/>
      <c r="V11" s="15">
        <v>0</v>
      </c>
      <c r="W11" s="89">
        <v>0</v>
      </c>
      <c r="X11" s="89">
        <v>0</v>
      </c>
      <c r="Y11" s="89">
        <v>0</v>
      </c>
      <c r="Z11" s="89">
        <v>0</v>
      </c>
      <c r="AA11" s="26"/>
      <c r="AB11" s="35">
        <v>0</v>
      </c>
      <c r="AC11" s="101">
        <v>0</v>
      </c>
      <c r="AD11" s="101">
        <v>0</v>
      </c>
      <c r="AE11" s="110">
        <v>0</v>
      </c>
    </row>
    <row r="12" spans="1:61" s="15" customFormat="1" x14ac:dyDescent="0.25">
      <c r="A12" s="5" t="s">
        <v>149</v>
      </c>
      <c r="B12" s="15">
        <v>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2</v>
      </c>
      <c r="K12" s="26"/>
      <c r="L12" s="18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26"/>
      <c r="V12" s="15">
        <v>0</v>
      </c>
      <c r="W12" s="89">
        <v>0</v>
      </c>
      <c r="X12" s="89">
        <v>0</v>
      </c>
      <c r="Y12" s="89">
        <v>0</v>
      </c>
      <c r="Z12" s="89">
        <v>0</v>
      </c>
      <c r="AA12" s="26"/>
      <c r="AB12" s="50">
        <v>0</v>
      </c>
      <c r="AC12" s="106">
        <v>0</v>
      </c>
      <c r="AD12" s="106">
        <v>0</v>
      </c>
      <c r="AE12" s="109">
        <v>0</v>
      </c>
    </row>
    <row r="13" spans="1:61" s="5" customFormat="1" x14ac:dyDescent="0.25">
      <c r="A13" s="5" t="s">
        <v>116</v>
      </c>
      <c r="B13" s="15">
        <v>0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4"/>
      <c r="L13" s="18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4"/>
      <c r="V13" s="15">
        <v>0</v>
      </c>
      <c r="W13" s="89">
        <v>0</v>
      </c>
      <c r="X13" s="89">
        <v>0</v>
      </c>
      <c r="Y13" s="89">
        <v>0</v>
      </c>
      <c r="Z13" s="89">
        <v>0</v>
      </c>
      <c r="AA13" s="4"/>
      <c r="AB13" s="34">
        <v>0</v>
      </c>
      <c r="AC13" s="101">
        <v>0</v>
      </c>
      <c r="AD13" s="101">
        <v>0</v>
      </c>
      <c r="AE13" s="110">
        <v>0</v>
      </c>
    </row>
    <row r="14" spans="1:61" s="5" customFormat="1" x14ac:dyDescent="0.25">
      <c r="A14" s="5" t="s">
        <v>26</v>
      </c>
      <c r="B14" s="15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4"/>
      <c r="L14" s="18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4"/>
      <c r="V14" s="15">
        <v>0</v>
      </c>
      <c r="W14" s="89">
        <v>0</v>
      </c>
      <c r="X14" s="89">
        <v>0</v>
      </c>
      <c r="Y14" s="89">
        <v>0</v>
      </c>
      <c r="Z14" s="89">
        <v>0</v>
      </c>
      <c r="AA14" s="4"/>
      <c r="AB14" s="51">
        <v>0</v>
      </c>
      <c r="AC14" s="106">
        <v>0</v>
      </c>
      <c r="AD14" s="106">
        <v>20</v>
      </c>
      <c r="AE14" s="109">
        <v>0</v>
      </c>
    </row>
    <row r="15" spans="1:61" s="15" customFormat="1" x14ac:dyDescent="0.25">
      <c r="A15" s="5" t="s">
        <v>27</v>
      </c>
      <c r="B15" s="15">
        <v>0</v>
      </c>
      <c r="C15" s="89">
        <v>0</v>
      </c>
      <c r="D15" s="89">
        <v>0</v>
      </c>
      <c r="E15" s="89">
        <v>1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26"/>
      <c r="L15" s="18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26"/>
      <c r="V15" s="15">
        <v>9</v>
      </c>
      <c r="W15" s="89">
        <v>7</v>
      </c>
      <c r="X15" s="89">
        <v>5</v>
      </c>
      <c r="Y15" s="89">
        <v>4</v>
      </c>
      <c r="Z15" s="89">
        <v>11</v>
      </c>
      <c r="AA15" s="26"/>
      <c r="AB15" s="35">
        <v>3</v>
      </c>
      <c r="AC15" s="101">
        <v>3</v>
      </c>
      <c r="AD15" s="101">
        <v>2</v>
      </c>
      <c r="AE15" s="110">
        <v>2</v>
      </c>
    </row>
    <row r="16" spans="1:61" s="15" customFormat="1" x14ac:dyDescent="0.25">
      <c r="A16" s="5" t="s">
        <v>70</v>
      </c>
      <c r="B16" s="15">
        <v>1</v>
      </c>
      <c r="C16" s="89">
        <v>1</v>
      </c>
      <c r="D16" s="89">
        <v>2</v>
      </c>
      <c r="E16" s="89">
        <v>1</v>
      </c>
      <c r="F16" s="89">
        <v>0</v>
      </c>
      <c r="G16" s="89">
        <v>2</v>
      </c>
      <c r="H16" s="89">
        <v>1</v>
      </c>
      <c r="I16" s="89">
        <v>5</v>
      </c>
      <c r="J16" s="89">
        <v>7</v>
      </c>
      <c r="K16" s="26"/>
      <c r="L16" s="18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26"/>
      <c r="V16" s="15">
        <v>0</v>
      </c>
      <c r="W16" s="89">
        <v>2</v>
      </c>
      <c r="X16" s="89">
        <v>1</v>
      </c>
      <c r="Y16" s="89">
        <v>3</v>
      </c>
      <c r="Z16" s="89">
        <v>9</v>
      </c>
      <c r="AA16" s="26"/>
      <c r="AB16" s="50">
        <v>1</v>
      </c>
      <c r="AC16" s="106">
        <v>1</v>
      </c>
      <c r="AD16" s="106">
        <v>1</v>
      </c>
      <c r="AE16" s="109">
        <v>0</v>
      </c>
    </row>
    <row r="17" spans="1:31" s="16" customFormat="1" x14ac:dyDescent="0.25">
      <c r="A17" s="5" t="s">
        <v>109</v>
      </c>
      <c r="B17" s="15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26"/>
      <c r="L17" s="18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26"/>
      <c r="V17" s="15">
        <v>0</v>
      </c>
      <c r="W17" s="89">
        <v>0</v>
      </c>
      <c r="X17" s="89">
        <v>0</v>
      </c>
      <c r="Y17" s="89">
        <v>0</v>
      </c>
      <c r="Z17" s="89">
        <v>0</v>
      </c>
      <c r="AA17" s="26"/>
      <c r="AB17" s="35">
        <v>0</v>
      </c>
      <c r="AC17" s="101">
        <v>0</v>
      </c>
      <c r="AD17" s="101">
        <v>2</v>
      </c>
      <c r="AE17" s="110">
        <v>0</v>
      </c>
    </row>
    <row r="18" spans="1:31" s="5" customFormat="1" x14ac:dyDescent="0.25">
      <c r="A18" s="5" t="s">
        <v>73</v>
      </c>
      <c r="B18" s="15">
        <v>0</v>
      </c>
      <c r="C18" s="89">
        <v>0</v>
      </c>
      <c r="D18" s="89">
        <v>4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26"/>
      <c r="L18" s="18">
        <v>1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26"/>
      <c r="V18" s="15">
        <v>0</v>
      </c>
      <c r="W18" s="89">
        <v>0</v>
      </c>
      <c r="X18" s="89">
        <v>0</v>
      </c>
      <c r="Y18" s="89">
        <v>0</v>
      </c>
      <c r="Z18" s="89">
        <v>0</v>
      </c>
      <c r="AA18" s="26"/>
      <c r="AB18" s="50">
        <v>2</v>
      </c>
      <c r="AC18" s="106">
        <v>2</v>
      </c>
      <c r="AD18" s="106">
        <v>2</v>
      </c>
      <c r="AE18" s="109">
        <v>2</v>
      </c>
    </row>
    <row r="19" spans="1:31" s="18" customFormat="1" x14ac:dyDescent="0.25">
      <c r="A19" s="18" t="s">
        <v>77</v>
      </c>
      <c r="B19" s="15">
        <v>1</v>
      </c>
      <c r="C19" s="89">
        <v>0</v>
      </c>
      <c r="D19" s="89">
        <v>0</v>
      </c>
      <c r="E19" s="89">
        <v>0</v>
      </c>
      <c r="F19" s="89">
        <v>0</v>
      </c>
      <c r="G19" s="89">
        <v>2</v>
      </c>
      <c r="H19" s="89">
        <v>0</v>
      </c>
      <c r="I19" s="89">
        <v>2</v>
      </c>
      <c r="J19" s="89">
        <v>0</v>
      </c>
      <c r="K19" s="26"/>
      <c r="L19" s="18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26"/>
      <c r="V19" s="15">
        <v>0</v>
      </c>
      <c r="W19" s="89">
        <v>0</v>
      </c>
      <c r="X19" s="89">
        <v>0</v>
      </c>
      <c r="Y19" s="89">
        <v>0</v>
      </c>
      <c r="Z19" s="89">
        <v>0</v>
      </c>
      <c r="AA19" s="26"/>
      <c r="AB19" s="35">
        <v>0</v>
      </c>
      <c r="AC19" s="101">
        <v>2</v>
      </c>
      <c r="AD19" s="101">
        <v>3</v>
      </c>
      <c r="AE19" s="110">
        <v>2</v>
      </c>
    </row>
    <row r="20" spans="1:31" s="18" customFormat="1" x14ac:dyDescent="0.25">
      <c r="A20" s="18" t="s">
        <v>71</v>
      </c>
      <c r="B20" s="15">
        <v>1</v>
      </c>
      <c r="C20" s="89">
        <v>9</v>
      </c>
      <c r="D20" s="89">
        <v>1</v>
      </c>
      <c r="E20" s="89">
        <v>2</v>
      </c>
      <c r="F20" s="89">
        <v>7</v>
      </c>
      <c r="G20" s="89">
        <v>2</v>
      </c>
      <c r="H20" s="89">
        <v>2</v>
      </c>
      <c r="I20" s="89">
        <v>3</v>
      </c>
      <c r="J20" s="89">
        <v>5</v>
      </c>
      <c r="K20" s="26"/>
      <c r="L20" s="18">
        <v>8</v>
      </c>
      <c r="M20" s="89">
        <v>8</v>
      </c>
      <c r="N20" s="89">
        <v>8</v>
      </c>
      <c r="O20" s="89">
        <v>8</v>
      </c>
      <c r="P20" s="89">
        <v>4</v>
      </c>
      <c r="Q20" s="89">
        <v>2</v>
      </c>
      <c r="R20" s="89">
        <v>2</v>
      </c>
      <c r="S20" s="89">
        <v>2</v>
      </c>
      <c r="T20" s="89">
        <v>0</v>
      </c>
      <c r="U20" s="26"/>
      <c r="V20" s="15">
        <v>81</v>
      </c>
      <c r="W20" s="89">
        <v>83</v>
      </c>
      <c r="X20" s="89">
        <v>54</v>
      </c>
      <c r="Y20" s="89">
        <v>46</v>
      </c>
      <c r="Z20" s="89">
        <v>77</v>
      </c>
      <c r="AA20" s="26"/>
      <c r="AB20" s="50">
        <v>5</v>
      </c>
      <c r="AC20" s="106">
        <v>1</v>
      </c>
      <c r="AD20" s="106">
        <v>1</v>
      </c>
      <c r="AE20" s="109">
        <v>1</v>
      </c>
    </row>
    <row r="21" spans="1:31" s="5" customFormat="1" x14ac:dyDescent="0.25">
      <c r="A21" s="5" t="s">
        <v>75</v>
      </c>
      <c r="B21" s="15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4"/>
      <c r="L21" s="18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4"/>
      <c r="V21" s="15">
        <v>1</v>
      </c>
      <c r="W21" s="89">
        <v>0</v>
      </c>
      <c r="X21" s="89">
        <v>0</v>
      </c>
      <c r="Y21" s="89">
        <v>0</v>
      </c>
      <c r="Z21" s="89">
        <v>0</v>
      </c>
      <c r="AA21" s="4"/>
      <c r="AB21" s="34">
        <v>1</v>
      </c>
      <c r="AC21" s="101">
        <v>0</v>
      </c>
      <c r="AD21" s="101">
        <v>0</v>
      </c>
      <c r="AE21" s="110">
        <v>0</v>
      </c>
    </row>
    <row r="22" spans="1:31" s="5" customFormat="1" ht="13.8" x14ac:dyDescent="0.3">
      <c r="A22" s="5" t="s">
        <v>28</v>
      </c>
      <c r="B22" s="15">
        <v>5</v>
      </c>
      <c r="C22" s="89">
        <v>8</v>
      </c>
      <c r="D22" s="89">
        <v>0</v>
      </c>
      <c r="E22" s="89">
        <v>0</v>
      </c>
      <c r="F22" s="89">
        <v>0</v>
      </c>
      <c r="G22" s="89">
        <v>4</v>
      </c>
      <c r="H22" s="89">
        <v>0</v>
      </c>
      <c r="I22" s="89">
        <v>4</v>
      </c>
      <c r="J22" s="89">
        <v>0</v>
      </c>
      <c r="K22" s="26"/>
      <c r="L22" s="18">
        <v>0</v>
      </c>
      <c r="M22" s="89">
        <v>1</v>
      </c>
      <c r="N22" s="89">
        <v>1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26"/>
      <c r="V22" s="15">
        <v>0</v>
      </c>
      <c r="W22" s="89">
        <v>0</v>
      </c>
      <c r="X22" s="89">
        <v>0</v>
      </c>
      <c r="Y22" s="98" t="s">
        <v>117</v>
      </c>
      <c r="Z22" s="89">
        <v>0</v>
      </c>
      <c r="AA22" s="26"/>
      <c r="AB22" s="50">
        <v>1</v>
      </c>
      <c r="AC22" s="106">
        <v>0</v>
      </c>
      <c r="AD22" s="106">
        <v>0</v>
      </c>
      <c r="AE22" s="109" t="s">
        <v>117</v>
      </c>
    </row>
    <row r="23" spans="1:31" s="5" customFormat="1" hidden="1" x14ac:dyDescent="0.25">
      <c r="A23" s="32"/>
      <c r="B23" s="15"/>
      <c r="C23" s="89"/>
      <c r="D23" s="89"/>
      <c r="E23" s="89"/>
      <c r="F23" s="89"/>
      <c r="G23" s="89"/>
      <c r="H23" s="89"/>
      <c r="I23" s="89"/>
      <c r="J23" s="89"/>
      <c r="K23" s="26"/>
      <c r="L23" s="18"/>
      <c r="M23" s="89"/>
      <c r="N23" s="89"/>
      <c r="O23" s="89"/>
      <c r="P23" s="89"/>
      <c r="Q23" s="89"/>
      <c r="R23" s="89"/>
      <c r="S23" s="89"/>
      <c r="T23" s="89"/>
      <c r="U23" s="26"/>
      <c r="V23" s="15"/>
      <c r="W23" s="89"/>
      <c r="X23" s="89"/>
      <c r="Y23" s="89"/>
      <c r="Z23" s="89"/>
      <c r="AA23" s="26"/>
      <c r="AB23" s="35"/>
      <c r="AC23" s="101" t="s">
        <v>161</v>
      </c>
      <c r="AD23" s="101"/>
      <c r="AE23" s="89"/>
    </row>
    <row r="24" spans="1:31" s="5" customFormat="1" x14ac:dyDescent="0.25">
      <c r="A24" s="5" t="s">
        <v>147</v>
      </c>
      <c r="B24" s="15" t="s">
        <v>161</v>
      </c>
      <c r="C24" s="89" t="s">
        <v>161</v>
      </c>
      <c r="D24" s="89" t="s">
        <v>152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4"/>
      <c r="L24" s="18" t="s">
        <v>161</v>
      </c>
      <c r="M24" s="89"/>
      <c r="N24" s="89" t="s">
        <v>152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4"/>
      <c r="V24" s="15" t="s">
        <v>161</v>
      </c>
      <c r="W24" s="89">
        <v>0</v>
      </c>
      <c r="X24" s="89" t="s">
        <v>152</v>
      </c>
      <c r="Y24" s="89">
        <v>0</v>
      </c>
      <c r="Z24" s="89">
        <v>0</v>
      </c>
      <c r="AA24" s="26"/>
      <c r="AB24" s="49" t="s">
        <v>161</v>
      </c>
      <c r="AC24" s="94" t="s">
        <v>152</v>
      </c>
      <c r="AD24" s="94" t="s">
        <v>152</v>
      </c>
      <c r="AE24" s="101">
        <v>0</v>
      </c>
    </row>
    <row r="25" spans="1:31" s="5" customFormat="1" x14ac:dyDescent="0.25">
      <c r="A25" s="5" t="s">
        <v>61</v>
      </c>
      <c r="B25" s="15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4"/>
      <c r="L25" s="18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4"/>
      <c r="V25" s="15">
        <v>0</v>
      </c>
      <c r="W25" s="89">
        <v>0</v>
      </c>
      <c r="X25" s="89">
        <v>0</v>
      </c>
      <c r="Y25" s="89">
        <v>0</v>
      </c>
      <c r="Z25" s="89">
        <v>0</v>
      </c>
      <c r="AA25" s="4"/>
      <c r="AB25" s="51">
        <v>0</v>
      </c>
      <c r="AC25" s="106">
        <v>0</v>
      </c>
      <c r="AD25" s="106">
        <v>0</v>
      </c>
      <c r="AE25" s="111">
        <v>0</v>
      </c>
    </row>
    <row r="26" spans="1:31" s="17" customFormat="1" x14ac:dyDescent="0.25">
      <c r="A26" s="5" t="s">
        <v>178</v>
      </c>
      <c r="B26" s="15">
        <v>3</v>
      </c>
      <c r="C26" s="89">
        <v>3</v>
      </c>
      <c r="D26" s="89">
        <v>1</v>
      </c>
      <c r="E26" s="89">
        <v>1</v>
      </c>
      <c r="F26" s="89">
        <v>1</v>
      </c>
      <c r="G26" s="89">
        <v>0</v>
      </c>
      <c r="H26" s="89">
        <v>0</v>
      </c>
      <c r="I26" s="89">
        <v>0</v>
      </c>
      <c r="J26" s="89">
        <v>0</v>
      </c>
      <c r="K26" s="26"/>
      <c r="L26" s="18">
        <v>1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26"/>
      <c r="V26" s="15">
        <v>2</v>
      </c>
      <c r="W26" s="89">
        <v>2</v>
      </c>
      <c r="X26" s="89">
        <v>6</v>
      </c>
      <c r="Y26" s="89">
        <v>12</v>
      </c>
      <c r="Z26" s="89">
        <v>0</v>
      </c>
      <c r="AA26" s="26"/>
      <c r="AB26" s="35">
        <v>7</v>
      </c>
      <c r="AC26" s="101">
        <v>0</v>
      </c>
      <c r="AD26" s="101">
        <v>4</v>
      </c>
      <c r="AE26" s="110">
        <v>4</v>
      </c>
    </row>
    <row r="27" spans="1:31" s="5" customFormat="1" hidden="1" x14ac:dyDescent="0.25">
      <c r="A27" s="32" t="s">
        <v>29</v>
      </c>
      <c r="B27" s="15"/>
      <c r="C27" s="89"/>
      <c r="D27" s="89"/>
      <c r="E27" s="89"/>
      <c r="F27" s="89"/>
      <c r="G27" s="89"/>
      <c r="H27" s="89">
        <v>0</v>
      </c>
      <c r="I27" s="89">
        <v>0</v>
      </c>
      <c r="J27" s="89">
        <v>0</v>
      </c>
      <c r="K27" s="26"/>
      <c r="L27" s="18"/>
      <c r="M27" s="89"/>
      <c r="N27" s="89"/>
      <c r="O27" s="89"/>
      <c r="P27" s="89"/>
      <c r="Q27" s="89">
        <v>0</v>
      </c>
      <c r="R27" s="89">
        <v>0</v>
      </c>
      <c r="S27" s="89">
        <v>0</v>
      </c>
      <c r="T27" s="89">
        <v>0</v>
      </c>
      <c r="U27" s="26"/>
      <c r="V27" s="15"/>
      <c r="W27" s="89"/>
      <c r="X27" s="89"/>
      <c r="Y27" s="89"/>
      <c r="Z27" s="89"/>
      <c r="AA27" s="26"/>
      <c r="AB27" s="35"/>
      <c r="AC27" s="101">
        <v>0</v>
      </c>
      <c r="AD27" s="101"/>
      <c r="AE27" s="110"/>
    </row>
    <row r="28" spans="1:31" s="5" customFormat="1" x14ac:dyDescent="0.25">
      <c r="A28" s="5" t="s">
        <v>160</v>
      </c>
      <c r="B28" s="15" t="s">
        <v>161</v>
      </c>
      <c r="C28" s="89" t="s">
        <v>152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1</v>
      </c>
      <c r="K28" s="4"/>
      <c r="L28" s="18" t="s">
        <v>161</v>
      </c>
      <c r="M28" s="89" t="s">
        <v>152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4"/>
      <c r="V28" s="15" t="s">
        <v>161</v>
      </c>
      <c r="W28" s="89" t="s">
        <v>161</v>
      </c>
      <c r="X28" s="89">
        <v>0</v>
      </c>
      <c r="Y28" s="89">
        <v>0</v>
      </c>
      <c r="Z28" s="89">
        <v>1</v>
      </c>
      <c r="AA28" s="4"/>
      <c r="AB28" s="51" t="s">
        <v>161</v>
      </c>
      <c r="AC28" s="106">
        <v>0</v>
      </c>
      <c r="AD28" s="106">
        <v>0</v>
      </c>
      <c r="AE28" s="109">
        <v>0</v>
      </c>
    </row>
    <row r="29" spans="1:31" s="5" customFormat="1" x14ac:dyDescent="0.25">
      <c r="A29" s="5" t="s">
        <v>30</v>
      </c>
      <c r="B29" s="15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4"/>
      <c r="L29" s="18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4"/>
      <c r="V29" s="15">
        <v>0</v>
      </c>
      <c r="W29" s="89">
        <v>0</v>
      </c>
      <c r="X29" s="89">
        <v>0</v>
      </c>
      <c r="Y29" s="89">
        <v>0</v>
      </c>
      <c r="Z29" s="89">
        <v>0</v>
      </c>
      <c r="AA29" s="4"/>
      <c r="AB29" s="34">
        <v>0</v>
      </c>
      <c r="AC29" s="101">
        <v>0</v>
      </c>
      <c r="AD29" s="101">
        <v>0</v>
      </c>
      <c r="AE29" s="110">
        <v>0</v>
      </c>
    </row>
    <row r="30" spans="1:31" s="15" customFormat="1" x14ac:dyDescent="0.25">
      <c r="A30" s="18" t="s">
        <v>31</v>
      </c>
      <c r="B30" s="15">
        <v>0</v>
      </c>
      <c r="C30" s="89">
        <v>1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26"/>
      <c r="L30" s="18">
        <v>1</v>
      </c>
      <c r="M30" s="89">
        <v>0</v>
      </c>
      <c r="N30" s="89">
        <v>1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26"/>
      <c r="V30" s="15">
        <v>3</v>
      </c>
      <c r="W30" s="89">
        <v>0</v>
      </c>
      <c r="X30" s="89">
        <v>2</v>
      </c>
      <c r="Y30" s="89">
        <v>2</v>
      </c>
      <c r="Z30" s="89">
        <v>6</v>
      </c>
      <c r="AA30" s="26"/>
      <c r="AB30" s="50">
        <v>2</v>
      </c>
      <c r="AC30" s="106">
        <v>2</v>
      </c>
      <c r="AD30" s="106">
        <v>2</v>
      </c>
      <c r="AE30" s="109">
        <v>2</v>
      </c>
    </row>
    <row r="31" spans="1:31" s="16" customFormat="1" x14ac:dyDescent="0.25">
      <c r="A31" s="18" t="s">
        <v>32</v>
      </c>
      <c r="B31" s="15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26"/>
      <c r="L31" s="18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26"/>
      <c r="V31" s="15">
        <v>0</v>
      </c>
      <c r="W31" s="89">
        <v>0</v>
      </c>
      <c r="X31" s="89">
        <v>0</v>
      </c>
      <c r="Y31" s="89">
        <v>0</v>
      </c>
      <c r="Z31" s="89">
        <v>0</v>
      </c>
      <c r="AA31" s="26"/>
      <c r="AB31" s="35">
        <v>0</v>
      </c>
      <c r="AC31" s="101">
        <v>0</v>
      </c>
      <c r="AD31" s="101">
        <v>0</v>
      </c>
      <c r="AE31" s="110">
        <v>0</v>
      </c>
    </row>
    <row r="32" spans="1:31" s="15" customFormat="1" x14ac:dyDescent="0.25">
      <c r="A32" s="18" t="s">
        <v>33</v>
      </c>
      <c r="B32" s="15">
        <v>0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4</v>
      </c>
      <c r="I32" s="89">
        <v>0</v>
      </c>
      <c r="J32" s="89">
        <v>0</v>
      </c>
      <c r="K32" s="26"/>
      <c r="L32" s="18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26"/>
      <c r="V32" s="15">
        <v>0</v>
      </c>
      <c r="W32" s="89">
        <v>0</v>
      </c>
      <c r="X32" s="89">
        <v>0</v>
      </c>
      <c r="Y32" s="89">
        <v>0</v>
      </c>
      <c r="Z32" s="89">
        <v>2</v>
      </c>
      <c r="AA32" s="26"/>
      <c r="AB32" s="50">
        <v>0</v>
      </c>
      <c r="AC32" s="106">
        <v>7</v>
      </c>
      <c r="AD32" s="106">
        <v>5</v>
      </c>
      <c r="AE32" s="109">
        <v>5</v>
      </c>
    </row>
    <row r="33" spans="1:31" s="18" customFormat="1" x14ac:dyDescent="0.25">
      <c r="A33" s="18" t="s">
        <v>34</v>
      </c>
      <c r="B33" s="15">
        <v>0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26"/>
      <c r="L33" s="18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26"/>
      <c r="V33" s="15">
        <v>0</v>
      </c>
      <c r="W33" s="89">
        <v>0</v>
      </c>
      <c r="X33" s="89">
        <v>0</v>
      </c>
      <c r="Y33" s="89">
        <v>0</v>
      </c>
      <c r="Z33" s="89">
        <v>0</v>
      </c>
      <c r="AA33" s="26"/>
      <c r="AB33" s="35">
        <v>0</v>
      </c>
      <c r="AC33" s="101">
        <v>0</v>
      </c>
      <c r="AD33" s="101">
        <v>0</v>
      </c>
      <c r="AE33" s="110">
        <v>0</v>
      </c>
    </row>
    <row r="34" spans="1:31" s="15" customFormat="1" x14ac:dyDescent="0.25">
      <c r="A34" s="18" t="s">
        <v>35</v>
      </c>
      <c r="B34" s="15">
        <v>0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26"/>
      <c r="L34" s="18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26"/>
      <c r="V34" s="15">
        <v>0</v>
      </c>
      <c r="W34" s="89">
        <v>0</v>
      </c>
      <c r="X34" s="89">
        <v>0</v>
      </c>
      <c r="Y34" s="89">
        <v>0</v>
      </c>
      <c r="Z34" s="89">
        <v>0</v>
      </c>
      <c r="AA34" s="26"/>
      <c r="AB34" s="50">
        <v>0</v>
      </c>
      <c r="AC34" s="106">
        <v>0</v>
      </c>
      <c r="AD34" s="106">
        <v>0</v>
      </c>
      <c r="AE34" s="109">
        <v>0</v>
      </c>
    </row>
    <row r="35" spans="1:31" s="15" customFormat="1" x14ac:dyDescent="0.25">
      <c r="A35" s="5" t="s">
        <v>59</v>
      </c>
      <c r="B35" s="15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26"/>
      <c r="L35" s="18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26"/>
      <c r="V35" s="15">
        <v>0</v>
      </c>
      <c r="W35" s="89">
        <v>0</v>
      </c>
      <c r="X35" s="89">
        <v>0</v>
      </c>
      <c r="Y35" s="89">
        <v>0</v>
      </c>
      <c r="Z35" s="89">
        <v>0</v>
      </c>
      <c r="AA35" s="26"/>
      <c r="AB35" s="35">
        <v>0</v>
      </c>
      <c r="AC35" s="101">
        <v>0</v>
      </c>
      <c r="AD35" s="101">
        <v>0</v>
      </c>
      <c r="AE35" s="110">
        <v>0</v>
      </c>
    </row>
    <row r="36" spans="1:31" s="15" customFormat="1" x14ac:dyDescent="0.25">
      <c r="A36" s="5" t="s">
        <v>131</v>
      </c>
      <c r="B36" s="15">
        <v>0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3</v>
      </c>
      <c r="K36" s="26"/>
      <c r="L36" s="18">
        <v>2</v>
      </c>
      <c r="M36" s="89">
        <v>2</v>
      </c>
      <c r="N36" s="89">
        <v>2</v>
      </c>
      <c r="O36" s="89">
        <v>2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26"/>
      <c r="V36" s="15">
        <v>22</v>
      </c>
      <c r="W36" s="89">
        <v>2</v>
      </c>
      <c r="X36" s="89">
        <v>1</v>
      </c>
      <c r="Y36" s="89">
        <v>0</v>
      </c>
      <c r="Z36" s="89">
        <v>2</v>
      </c>
      <c r="AA36" s="26"/>
      <c r="AB36" s="50">
        <v>1</v>
      </c>
      <c r="AC36" s="106">
        <v>1</v>
      </c>
      <c r="AD36" s="106">
        <v>0</v>
      </c>
      <c r="AE36" s="109">
        <v>0</v>
      </c>
    </row>
    <row r="37" spans="1:31" s="15" customFormat="1" x14ac:dyDescent="0.25">
      <c r="A37" s="5" t="s">
        <v>111</v>
      </c>
      <c r="B37" s="15">
        <v>0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26"/>
      <c r="L37" s="18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26"/>
      <c r="V37" s="15">
        <v>1</v>
      </c>
      <c r="W37" s="89">
        <v>1</v>
      </c>
      <c r="X37" s="89">
        <v>3</v>
      </c>
      <c r="Y37" s="89">
        <v>0</v>
      </c>
      <c r="Z37" s="89">
        <v>1</v>
      </c>
      <c r="AA37" s="26"/>
      <c r="AB37" s="35">
        <v>1</v>
      </c>
      <c r="AC37" s="101">
        <v>1</v>
      </c>
      <c r="AD37" s="101">
        <v>0</v>
      </c>
      <c r="AE37" s="110">
        <v>0</v>
      </c>
    </row>
    <row r="38" spans="1:31" s="15" customFormat="1" x14ac:dyDescent="0.25">
      <c r="A38" s="5" t="s">
        <v>36</v>
      </c>
      <c r="B38" s="15">
        <v>0</v>
      </c>
      <c r="C38" s="89">
        <v>0</v>
      </c>
      <c r="D38" s="89">
        <v>0</v>
      </c>
      <c r="E38" s="89">
        <v>0</v>
      </c>
      <c r="F38" s="89">
        <v>4</v>
      </c>
      <c r="G38" s="89">
        <v>0</v>
      </c>
      <c r="H38" s="89">
        <v>0</v>
      </c>
      <c r="I38" s="89">
        <v>0</v>
      </c>
      <c r="J38" s="89">
        <v>0</v>
      </c>
      <c r="K38" s="26"/>
      <c r="L38" s="18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26"/>
      <c r="V38" s="15">
        <v>0</v>
      </c>
      <c r="W38" s="89">
        <v>0</v>
      </c>
      <c r="X38" s="89">
        <v>2</v>
      </c>
      <c r="Y38" s="89">
        <v>0</v>
      </c>
      <c r="Z38" s="89">
        <v>2</v>
      </c>
      <c r="AA38" s="26"/>
      <c r="AB38" s="52">
        <v>3</v>
      </c>
      <c r="AC38" s="112">
        <v>4</v>
      </c>
      <c r="AD38" s="112">
        <v>4</v>
      </c>
      <c r="AE38" s="109">
        <v>5</v>
      </c>
    </row>
    <row r="39" spans="1:31" s="15" customFormat="1" x14ac:dyDescent="0.25">
      <c r="A39" s="18" t="s">
        <v>150</v>
      </c>
      <c r="B39" s="15">
        <v>0</v>
      </c>
      <c r="C39" s="89">
        <v>0</v>
      </c>
      <c r="D39" s="89">
        <v>0</v>
      </c>
      <c r="E39" s="89">
        <v>0</v>
      </c>
      <c r="F39" s="89">
        <v>0</v>
      </c>
      <c r="G39" s="89">
        <v>1</v>
      </c>
      <c r="H39" s="89">
        <v>0</v>
      </c>
      <c r="I39" s="89">
        <v>0</v>
      </c>
      <c r="J39" s="89">
        <v>0</v>
      </c>
      <c r="K39" s="26"/>
      <c r="L39" s="18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  <c r="U39" s="26"/>
      <c r="V39" s="15">
        <v>86</v>
      </c>
      <c r="W39" s="89">
        <v>78</v>
      </c>
      <c r="X39" s="89">
        <v>36</v>
      </c>
      <c r="Y39" s="89">
        <v>15</v>
      </c>
      <c r="Z39" s="89">
        <v>52</v>
      </c>
      <c r="AA39" s="26"/>
      <c r="AB39" s="35">
        <v>0</v>
      </c>
      <c r="AC39" s="101">
        <v>0</v>
      </c>
      <c r="AD39" s="101">
        <v>0</v>
      </c>
      <c r="AE39" s="110">
        <v>70</v>
      </c>
    </row>
    <row r="40" spans="1:31" s="10" customFormat="1" x14ac:dyDescent="0.25">
      <c r="A40" s="10" t="s">
        <v>37</v>
      </c>
      <c r="B40" s="23">
        <f>SUM(B7:B39)</f>
        <v>15</v>
      </c>
      <c r="C40" s="92">
        <f>SUM(C7:C39)</f>
        <v>36</v>
      </c>
      <c r="D40" s="92">
        <f t="shared" ref="D40:J40" si="0">SUBTOTAL(109,D5:D39)</f>
        <v>13</v>
      </c>
      <c r="E40" s="93">
        <f t="shared" si="0"/>
        <v>19</v>
      </c>
      <c r="F40" s="92">
        <f t="shared" si="0"/>
        <v>27</v>
      </c>
      <c r="G40" s="92">
        <f t="shared" si="0"/>
        <v>32</v>
      </c>
      <c r="H40" s="92">
        <f t="shared" si="0"/>
        <v>25</v>
      </c>
      <c r="I40" s="92">
        <f t="shared" si="0"/>
        <v>28</v>
      </c>
      <c r="J40" s="92">
        <f t="shared" si="0"/>
        <v>18</v>
      </c>
      <c r="K40" s="47"/>
      <c r="L40" s="23">
        <f>SUM(L7:L39)</f>
        <v>13</v>
      </c>
      <c r="M40" s="92">
        <f>SUM(M7:M39)</f>
        <v>11</v>
      </c>
      <c r="N40" s="92">
        <f t="shared" ref="N40:T40" si="1">SUBTOTAL(109,N5:N39)</f>
        <v>12</v>
      </c>
      <c r="O40" s="92">
        <f t="shared" si="1"/>
        <v>10</v>
      </c>
      <c r="P40" s="92">
        <f t="shared" si="1"/>
        <v>4</v>
      </c>
      <c r="Q40" s="92">
        <f t="shared" si="1"/>
        <v>2</v>
      </c>
      <c r="R40" s="92">
        <f t="shared" si="1"/>
        <v>2</v>
      </c>
      <c r="S40" s="92">
        <f t="shared" si="1"/>
        <v>2</v>
      </c>
      <c r="T40" s="92">
        <f t="shared" si="1"/>
        <v>0</v>
      </c>
      <c r="U40" s="47"/>
      <c r="V40" s="23">
        <f>SUM(V7:V39)</f>
        <v>216</v>
      </c>
      <c r="W40" s="92">
        <f>SUM(W7:W39)</f>
        <v>180</v>
      </c>
      <c r="X40" s="92">
        <f>SUM(X7:X39)</f>
        <v>121</v>
      </c>
      <c r="Y40" s="92">
        <f>SUM(Y7:Y39)</f>
        <v>85</v>
      </c>
      <c r="Z40" s="92">
        <f t="shared" ref="Z40" si="2">SUM(Z7:Z39)</f>
        <v>173</v>
      </c>
      <c r="AA40" s="47"/>
      <c r="AB40" s="53">
        <f>SUM(AB7:AB39)</f>
        <v>45</v>
      </c>
      <c r="AC40" s="113">
        <f>SUM(AC7:AC39)</f>
        <v>44</v>
      </c>
      <c r="AD40" s="113">
        <f>SUM(AD9:AD39)</f>
        <v>59</v>
      </c>
      <c r="AE40" s="114">
        <f>SUM(AE6:AE39)</f>
        <v>113</v>
      </c>
    </row>
    <row r="41" spans="1:31" x14ac:dyDescent="0.25">
      <c r="A41" s="21" t="s">
        <v>38</v>
      </c>
      <c r="B41" s="54"/>
      <c r="C41" s="29"/>
    </row>
    <row r="42" spans="1:31" x14ac:dyDescent="0.25">
      <c r="A42" s="7" t="s">
        <v>118</v>
      </c>
      <c r="V42" s="30" t="s">
        <v>162</v>
      </c>
      <c r="W42" s="30"/>
      <c r="X42" s="30"/>
      <c r="Y42" s="30"/>
      <c r="Z42" s="10"/>
      <c r="AA42" s="30"/>
      <c r="AB42" s="30"/>
      <c r="AC42" s="30"/>
      <c r="AD42" s="30"/>
      <c r="AE42" s="5"/>
    </row>
    <row r="43" spans="1:31" x14ac:dyDescent="0.25">
      <c r="V43" s="30"/>
      <c r="W43" s="30"/>
      <c r="X43" s="30"/>
      <c r="Y43" s="30"/>
      <c r="Z43" s="30"/>
      <c r="AA43" s="30"/>
      <c r="AB43" s="30"/>
      <c r="AC43" s="30"/>
      <c r="AD43" s="30"/>
    </row>
    <row r="44" spans="1:31" x14ac:dyDescent="0.25">
      <c r="V44" s="30" t="s">
        <v>163</v>
      </c>
      <c r="W44" s="30"/>
      <c r="X44" s="30"/>
      <c r="Y44" s="30"/>
      <c r="Z44" s="30"/>
      <c r="AA44" s="30"/>
      <c r="AB44" s="30"/>
      <c r="AC44" s="30"/>
      <c r="AD44" s="30"/>
    </row>
  </sheetData>
  <pageMargins left="3.937007874015748E-2" right="3.937007874015748E-2" top="0.74803149606299213" bottom="0.74803149606299213" header="0.31496062992125984" footer="0.31496062992125984"/>
  <pageSetup paperSize="9" scale="53" firstPageNumber="0" fitToHeight="0" orientation="landscape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4</vt:i4>
      </vt:variant>
    </vt:vector>
  </HeadingPairs>
  <TitlesOfParts>
    <vt:vector size="8" baseType="lpstr">
      <vt:lpstr>Tehtäväaloittain</vt:lpstr>
      <vt:lpstr>10-40 lähetystyöntekijät</vt:lpstr>
      <vt:lpstr>Maanosittain</vt:lpstr>
      <vt:lpstr>Määräaikaiset ja Suomeen läh</vt:lpstr>
      <vt:lpstr>'10-40 lähetystyöntekijät'!Tulostusalue</vt:lpstr>
      <vt:lpstr>Maanosittain!Tulostusalue</vt:lpstr>
      <vt:lpstr>'Määräaikaiset ja Suomeen läh'!Tulostusalue</vt:lpstr>
      <vt:lpstr>Tehtäväaloittain!Tulostusalue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Sari</cp:lastModifiedBy>
  <cp:lastPrinted>2017-08-17T11:00:05Z</cp:lastPrinted>
  <dcterms:created xsi:type="dcterms:W3CDTF">2014-03-16T15:55:06Z</dcterms:created>
  <dcterms:modified xsi:type="dcterms:W3CDTF">2019-07-08T07:26:19Z</dcterms:modified>
</cp:coreProperties>
</file>