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SLN 1.0\Tilastot\Lähettitilasto 2017\"/>
    </mc:Choice>
  </mc:AlternateContent>
  <bookViews>
    <workbookView xWindow="0" yWindow="0" windowWidth="20490" windowHeight="8910" tabRatio="824"/>
  </bookViews>
  <sheets>
    <sheet name="Tehtäväaloittain" sheetId="1" r:id="rId1"/>
    <sheet name="10-40 lähetystyöntekijät" sheetId="2" r:id="rId2"/>
    <sheet name="Maanosittain" sheetId="3" r:id="rId3"/>
    <sheet name="Määräaikaiset ja Suomeen läh" sheetId="4" r:id="rId4"/>
  </sheets>
  <definedNames>
    <definedName name="_xlnm.Print_Area" localSheetId="1">'10-40 lähetystyöntekijät'!$A$1:$AB$52</definedName>
    <definedName name="_xlnm.Print_Area" localSheetId="2">Maanosittain!$A$1:$Q$38</definedName>
    <definedName name="_xlnm.Print_Area" localSheetId="3">'Määräaikaiset ja Suomeen läh'!$A$1:$W$40</definedName>
    <definedName name="_xlnm.Print_Area" localSheetId="0">Tehtäväaloittain!$A$1:$AL$44</definedName>
  </definedNames>
  <calcPr calcId="162913"/>
</workbook>
</file>

<file path=xl/calcChain.xml><?xml version="1.0" encoding="utf-8"?>
<calcChain xmlns="http://schemas.openxmlformats.org/spreadsheetml/2006/main">
  <c r="O36" i="1" l="1"/>
  <c r="L37" i="3"/>
  <c r="P37" i="3"/>
  <c r="Q37" i="3"/>
  <c r="AC39" i="4"/>
  <c r="AA39" i="4"/>
  <c r="D39" i="4"/>
  <c r="E39" i="4"/>
  <c r="F39" i="4"/>
  <c r="G39" i="4"/>
  <c r="H39" i="4"/>
  <c r="I39" i="4"/>
  <c r="J39" i="4"/>
  <c r="L39" i="4"/>
  <c r="N39" i="4"/>
  <c r="O39" i="4"/>
  <c r="P39" i="4"/>
  <c r="Q39" i="4"/>
  <c r="R39" i="4"/>
  <c r="S39" i="4"/>
  <c r="T39" i="4"/>
  <c r="T36" i="1"/>
  <c r="AZ36" i="1"/>
  <c r="AN36" i="1"/>
  <c r="AP36" i="1"/>
  <c r="AR36" i="1"/>
  <c r="AS36" i="1"/>
  <c r="AT36" i="1"/>
  <c r="AU36" i="1"/>
  <c r="AV36" i="1"/>
  <c r="AW36" i="1"/>
  <c r="AX36" i="1"/>
  <c r="AY36" i="1"/>
  <c r="S36" i="1"/>
  <c r="R36" i="1"/>
  <c r="P36" i="1"/>
  <c r="Q36" i="1"/>
  <c r="H36" i="1"/>
  <c r="I36" i="1"/>
  <c r="J36" i="1"/>
  <c r="K36" i="1"/>
  <c r="L36" i="1"/>
  <c r="M36" i="1"/>
  <c r="N36" i="1"/>
  <c r="G36" i="1"/>
  <c r="F36" i="1"/>
  <c r="E36" i="1"/>
  <c r="D36" i="1"/>
  <c r="X39" i="4"/>
  <c r="W39" i="4"/>
  <c r="Y39" i="4"/>
  <c r="V39" i="4"/>
  <c r="P12" i="2"/>
  <c r="I6" i="3"/>
  <c r="I7" i="3"/>
  <c r="I8" i="3"/>
  <c r="I9" i="3"/>
  <c r="I10" i="3"/>
  <c r="I11" i="3"/>
  <c r="I12" i="3"/>
  <c r="I13" i="3"/>
  <c r="I14" i="3"/>
  <c r="I15" i="3"/>
  <c r="I37" i="3" s="1"/>
  <c r="I16" i="3"/>
  <c r="I17" i="3"/>
  <c r="I18" i="3"/>
  <c r="I19" i="3"/>
  <c r="I20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Q10" i="1"/>
  <c r="C39" i="4"/>
  <c r="Q6" i="2"/>
  <c r="P6" i="2"/>
  <c r="O6" i="2"/>
  <c r="C37" i="3"/>
  <c r="D37" i="3"/>
  <c r="E37" i="3"/>
  <c r="F37" i="3"/>
  <c r="G37" i="3"/>
  <c r="H37" i="3"/>
  <c r="B37" i="3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B37" i="2"/>
  <c r="O10" i="1"/>
  <c r="O32" i="1"/>
  <c r="P10" i="1"/>
  <c r="P32" i="1"/>
  <c r="C36" i="1"/>
  <c r="B36" i="1"/>
  <c r="J37" i="3"/>
  <c r="R37" i="3"/>
  <c r="S37" i="3"/>
  <c r="T37" i="3"/>
  <c r="U37" i="3"/>
  <c r="V37" i="3"/>
  <c r="W37" i="3"/>
  <c r="X37" i="3"/>
  <c r="O37" i="3"/>
  <c r="N37" i="3"/>
  <c r="M37" i="3"/>
  <c r="K37" i="3"/>
  <c r="B39" i="4"/>
  <c r="O23" i="2"/>
  <c r="P23" i="2"/>
  <c r="Q23" i="2"/>
  <c r="O18" i="1"/>
  <c r="Q8" i="1"/>
  <c r="Q9" i="1"/>
  <c r="Q11" i="1"/>
  <c r="Q12" i="1"/>
  <c r="Q13" i="1"/>
  <c r="Q14" i="1"/>
  <c r="Q15" i="1"/>
  <c r="Q18" i="1"/>
  <c r="Q19" i="1"/>
  <c r="Q20" i="1"/>
  <c r="Q21" i="1"/>
  <c r="Q22" i="1"/>
  <c r="Q25" i="1"/>
  <c r="Q26" i="1"/>
  <c r="Q27" i="1"/>
  <c r="Q28" i="1"/>
  <c r="Q29" i="1"/>
  <c r="Q30" i="1"/>
  <c r="Q31" i="1"/>
  <c r="Q33" i="1"/>
  <c r="Q35" i="1"/>
  <c r="P8" i="1"/>
  <c r="P9" i="1"/>
  <c r="P11" i="1"/>
  <c r="P12" i="1"/>
  <c r="P13" i="1"/>
  <c r="P14" i="1"/>
  <c r="P15" i="1"/>
  <c r="P18" i="1"/>
  <c r="P19" i="1"/>
  <c r="P20" i="1"/>
  <c r="P21" i="1"/>
  <c r="P22" i="1"/>
  <c r="P25" i="1"/>
  <c r="P26" i="1"/>
  <c r="P27" i="1"/>
  <c r="P28" i="1"/>
  <c r="P29" i="1"/>
  <c r="P30" i="1"/>
  <c r="P31" i="1"/>
  <c r="P33" i="1"/>
  <c r="P35" i="1"/>
  <c r="O8" i="1"/>
  <c r="O9" i="1"/>
  <c r="O11" i="1"/>
  <c r="O12" i="1"/>
  <c r="O13" i="1"/>
  <c r="O14" i="1"/>
  <c r="O15" i="1"/>
  <c r="O19" i="1"/>
  <c r="O20" i="1"/>
  <c r="O21" i="1"/>
  <c r="O22" i="1"/>
  <c r="O25" i="1"/>
  <c r="O26" i="1"/>
  <c r="O27" i="1"/>
  <c r="O28" i="1"/>
  <c r="O29" i="1"/>
  <c r="O30" i="1"/>
  <c r="O31" i="1"/>
  <c r="O33" i="1"/>
  <c r="O35" i="1"/>
  <c r="Q7" i="1"/>
  <c r="P7" i="1"/>
  <c r="O7" i="1"/>
  <c r="R27" i="2"/>
  <c r="S27" i="2"/>
  <c r="T27" i="2"/>
  <c r="O17" i="2"/>
  <c r="O33" i="2"/>
  <c r="AC37" i="2"/>
  <c r="X36" i="1"/>
  <c r="Y36" i="1"/>
  <c r="Z36" i="1"/>
  <c r="AA36" i="1"/>
  <c r="AB36" i="1"/>
  <c r="AC36" i="1"/>
  <c r="AC1048575" i="1"/>
  <c r="AD36" i="1"/>
  <c r="AE36" i="1"/>
  <c r="AF36" i="1"/>
  <c r="AG36" i="1"/>
  <c r="AH36" i="1"/>
  <c r="AI36" i="1"/>
  <c r="AJ36" i="1"/>
  <c r="AK36" i="1"/>
  <c r="AL36" i="1"/>
  <c r="AM36" i="1"/>
  <c r="M39" i="4"/>
  <c r="AB39" i="4"/>
  <c r="P11" i="2"/>
  <c r="R21" i="2"/>
  <c r="S21" i="2"/>
  <c r="T21" i="2"/>
  <c r="O22" i="2"/>
  <c r="P22" i="2"/>
  <c r="Q22" i="2"/>
  <c r="R22" i="2"/>
  <c r="S22" i="2"/>
  <c r="T22" i="2"/>
  <c r="V21" i="1"/>
  <c r="W21" i="1"/>
  <c r="U21" i="1"/>
  <c r="U20" i="1"/>
  <c r="V20" i="1"/>
  <c r="W20" i="1"/>
  <c r="S35" i="2"/>
  <c r="T35" i="2"/>
  <c r="Q7" i="2"/>
  <c r="Q8" i="2"/>
  <c r="Q10" i="2"/>
  <c r="Q11" i="2"/>
  <c r="Q13" i="2"/>
  <c r="Q14" i="2"/>
  <c r="Q16" i="2"/>
  <c r="Q18" i="2"/>
  <c r="Q20" i="2"/>
  <c r="Q24" i="2"/>
  <c r="Q26" i="2"/>
  <c r="Q28" i="2"/>
  <c r="Q30" i="2"/>
  <c r="Q31" i="2"/>
  <c r="Q32" i="2"/>
  <c r="Q34" i="2"/>
  <c r="P7" i="2"/>
  <c r="P8" i="2"/>
  <c r="P10" i="2"/>
  <c r="P13" i="2"/>
  <c r="P14" i="2"/>
  <c r="P16" i="2"/>
  <c r="P18" i="2"/>
  <c r="P20" i="2"/>
  <c r="P24" i="2"/>
  <c r="P26" i="2"/>
  <c r="P28" i="2"/>
  <c r="P30" i="2"/>
  <c r="P31" i="2"/>
  <c r="P32" i="2"/>
  <c r="P34" i="2"/>
  <c r="O7" i="2"/>
  <c r="O8" i="2"/>
  <c r="O10" i="2"/>
  <c r="O11" i="2"/>
  <c r="O13" i="2"/>
  <c r="O14" i="2"/>
  <c r="O16" i="2"/>
  <c r="O18" i="2"/>
  <c r="O20" i="2"/>
  <c r="O24" i="2"/>
  <c r="O26" i="2"/>
  <c r="O28" i="2"/>
  <c r="O30" i="2"/>
  <c r="O31" i="2"/>
  <c r="O32" i="2"/>
  <c r="O34" i="2"/>
  <c r="R13" i="2"/>
  <c r="W10" i="1"/>
  <c r="V7" i="1"/>
  <c r="U7" i="1"/>
  <c r="W14" i="1"/>
  <c r="V14" i="1"/>
  <c r="U17" i="1"/>
  <c r="V17" i="1"/>
  <c r="W17" i="1"/>
  <c r="V8" i="1"/>
  <c r="V9" i="1"/>
  <c r="V10" i="1"/>
  <c r="V11" i="1"/>
  <c r="V12" i="1"/>
  <c r="V13" i="1"/>
  <c r="V15" i="1"/>
  <c r="V18" i="1"/>
  <c r="V19" i="1"/>
  <c r="V22" i="1"/>
  <c r="V23" i="1"/>
  <c r="V24" i="1"/>
  <c r="V25" i="1"/>
  <c r="V26" i="1"/>
  <c r="V27" i="1"/>
  <c r="V28" i="1"/>
  <c r="V29" i="1"/>
  <c r="V31" i="1"/>
  <c r="V32" i="1"/>
  <c r="V33" i="1"/>
  <c r="V34" i="1"/>
  <c r="S28" i="2"/>
  <c r="S26" i="2"/>
  <c r="S6" i="2"/>
  <c r="S19" i="2"/>
  <c r="U8" i="1"/>
  <c r="U9" i="1"/>
  <c r="U10" i="1"/>
  <c r="U12" i="1"/>
  <c r="U13" i="1"/>
  <c r="U14" i="1"/>
  <c r="U15" i="1"/>
  <c r="U18" i="1"/>
  <c r="U19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W8" i="1"/>
  <c r="W9" i="1"/>
  <c r="W11" i="1"/>
  <c r="W12" i="1"/>
  <c r="W13" i="1"/>
  <c r="W15" i="1"/>
  <c r="W18" i="1"/>
  <c r="W19" i="1"/>
  <c r="W22" i="1"/>
  <c r="W23" i="1"/>
  <c r="W24" i="1"/>
  <c r="W25" i="1"/>
  <c r="W26" i="1"/>
  <c r="W27" i="1"/>
  <c r="W28" i="1"/>
  <c r="W33" i="1"/>
  <c r="W29" i="1"/>
  <c r="W30" i="1"/>
  <c r="W31" i="1"/>
  <c r="W32" i="1"/>
  <c r="W34" i="1"/>
  <c r="S25" i="2"/>
  <c r="S30" i="2"/>
  <c r="S32" i="2"/>
  <c r="R33" i="2"/>
  <c r="S33" i="2"/>
  <c r="T33" i="2"/>
  <c r="R34" i="2"/>
  <c r="S34" i="2"/>
  <c r="R8" i="2"/>
  <c r="R7" i="2"/>
  <c r="T8" i="2"/>
  <c r="R9" i="2"/>
  <c r="R10" i="2"/>
  <c r="R11" i="2"/>
  <c r="R12" i="2"/>
  <c r="R16" i="2"/>
  <c r="R36" i="2"/>
  <c r="R17" i="2"/>
  <c r="R18" i="2"/>
  <c r="R19" i="2"/>
  <c r="R14" i="2"/>
  <c r="R23" i="2"/>
  <c r="R24" i="2"/>
  <c r="R25" i="2"/>
  <c r="R26" i="2"/>
  <c r="R28" i="2"/>
  <c r="R29" i="2"/>
  <c r="R30" i="2"/>
  <c r="R31" i="2"/>
  <c r="R32" i="2"/>
  <c r="T6" i="2"/>
  <c r="T7" i="2"/>
  <c r="T9" i="2"/>
  <c r="T10" i="2"/>
  <c r="T11" i="2"/>
  <c r="T12" i="2"/>
  <c r="T13" i="2"/>
  <c r="T16" i="2"/>
  <c r="T36" i="2"/>
  <c r="T17" i="2"/>
  <c r="T18" i="2"/>
  <c r="T14" i="2"/>
  <c r="T24" i="2"/>
  <c r="T25" i="2"/>
  <c r="T26" i="2"/>
  <c r="T28" i="2"/>
  <c r="T29" i="2"/>
  <c r="T37" i="2"/>
  <c r="T30" i="2"/>
  <c r="T31" i="2"/>
  <c r="T32" i="2"/>
  <c r="S7" i="2"/>
  <c r="S8" i="2"/>
  <c r="S9" i="2"/>
  <c r="S10" i="2"/>
  <c r="S11" i="2"/>
  <c r="S12" i="2"/>
  <c r="S16" i="2"/>
  <c r="S36" i="2"/>
  <c r="S17" i="2"/>
  <c r="S18" i="2"/>
  <c r="S14" i="2"/>
  <c r="S23" i="2"/>
  <c r="S24" i="2"/>
  <c r="S29" i="2"/>
  <c r="S31" i="2"/>
  <c r="AA37" i="2"/>
  <c r="Y37" i="2"/>
  <c r="X37" i="2"/>
  <c r="AB37" i="2"/>
  <c r="U36" i="1"/>
  <c r="W36" i="1"/>
  <c r="R37" i="2"/>
  <c r="V36" i="1"/>
  <c r="S37" i="2"/>
</calcChain>
</file>

<file path=xl/comments1.xml><?xml version="1.0" encoding="utf-8"?>
<comments xmlns="http://schemas.openxmlformats.org/spreadsheetml/2006/main">
  <authors>
    <author>Patrikainen, Anne E</author>
  </authors>
  <commentList>
    <comment ref="AE46" authorId="0" shapeId="0">
      <text>
        <r>
          <rPr>
            <b/>
            <sz val="9"/>
            <color indexed="81"/>
            <rFont val="Tahoma"/>
            <family val="2"/>
          </rPr>
          <t>Patrikainen, Anne E:</t>
        </r>
        <r>
          <rPr>
            <sz val="9"/>
            <color indexed="81"/>
            <rFont val="Tahoma"/>
            <family val="2"/>
          </rPr>
          <t xml:space="preserve">
Kun aloitat: muista tsekata muistikaaviot, muista asteriksi merkit, muista merkata edellisvuosien jutut</t>
        </r>
      </text>
    </comment>
  </commentList>
</comments>
</file>

<file path=xl/comments2.xml><?xml version="1.0" encoding="utf-8"?>
<comments xmlns="http://schemas.openxmlformats.org/spreadsheetml/2006/main">
  <authors>
    <author>Tammisto, Tuomas A W</author>
    <author>Mustonen Anni</author>
  </authors>
  <commentList>
    <comment ref="X38" authorId="0" shapeId="0">
      <text>
        <r>
          <rPr>
            <b/>
            <sz val="9"/>
            <color indexed="81"/>
            <rFont val="Tahoma"/>
            <family val="2"/>
          </rPr>
          <t>Huom! Tieto lisätty vasta vuonna 2016.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39" authorId="1" shapeId="0">
      <text>
        <r>
          <rPr>
            <b/>
            <sz val="9"/>
            <color indexed="81"/>
            <rFont val="Tahoma"/>
            <family val="2"/>
          </rPr>
          <t>Mustonen Anni: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<sst xmlns="http://schemas.openxmlformats.org/spreadsheetml/2006/main" count="613" uniqueCount="182">
  <si>
    <t>SUOMEN LÄHETYSNEUVOSTO - FINSKA MISSIONSRÅDET</t>
  </si>
  <si>
    <t>Lähetystyöntekijöiden ja yhteisten lähetystyöntekijöiden kokonaismäärä järjestöittäin ja tehtäväaloittain</t>
  </si>
  <si>
    <t>JÄRJESTÖ/YHTEISÖ</t>
  </si>
  <si>
    <t>Ulk/Kot:</t>
  </si>
  <si>
    <t>Tehtäväalat:</t>
  </si>
  <si>
    <t>M/N:</t>
  </si>
  <si>
    <t>Ulk</t>
  </si>
  <si>
    <t>Kot</t>
  </si>
  <si>
    <t>Srk</t>
  </si>
  <si>
    <t>TS</t>
  </si>
  <si>
    <t>Mt</t>
  </si>
  <si>
    <t>Op</t>
  </si>
  <si>
    <t>Rk</t>
  </si>
  <si>
    <t>Ha</t>
  </si>
  <si>
    <t>Tk</t>
  </si>
  <si>
    <t>Muu</t>
  </si>
  <si>
    <t>M</t>
  </si>
  <si>
    <t>N</t>
  </si>
  <si>
    <t>Yht. (ulk+kot)</t>
  </si>
  <si>
    <t>Yht. (tehtävät)</t>
  </si>
  <si>
    <t>Yht. (M+N)</t>
  </si>
  <si>
    <t>Yht.läht.t.</t>
  </si>
  <si>
    <t>Yht.</t>
  </si>
  <si>
    <t>Yht.läht.työn.</t>
  </si>
  <si>
    <t>Avainmedia</t>
  </si>
  <si>
    <t>Fida International (*)</t>
  </si>
  <si>
    <t>Israelin Ystävät</t>
  </si>
  <si>
    <t>Kansan Raamattuseuran Säätiö (KRS)</t>
  </si>
  <si>
    <t>Patmos Lähetyssäätiö</t>
  </si>
  <si>
    <t>Suomen EV.-Lut Kirkko/ KLK (*)</t>
  </si>
  <si>
    <t>Suomen Lepralähetys</t>
  </si>
  <si>
    <t>Suomen Lut. Evankeliumiyhdistys (SLEY)</t>
  </si>
  <si>
    <t>Suomen Lähetyslentäjät (MAF Finland) (*)</t>
  </si>
  <si>
    <t>Suomen Lähetysseura (SLS)</t>
  </si>
  <si>
    <t>Suomen Metodistikirkko</t>
  </si>
  <si>
    <t>Suomen Pelastusarmeija</t>
  </si>
  <si>
    <t>Wycliffe Raamatunkääntäjät (*)</t>
  </si>
  <si>
    <t>Yhteensä</t>
  </si>
  <si>
    <t xml:space="preserve"> (*)= Järjestöllä on toisen SLN:n jäsenjärjestön kanssa yhteistyötä.</t>
  </si>
  <si>
    <t>10/40 ikkunan alueella toimivat lähetystyöntekijät</t>
  </si>
  <si>
    <t>Yht. (Ulk+kot)</t>
  </si>
  <si>
    <t>Yht (työalat)</t>
  </si>
  <si>
    <t>Yht. (N+M)</t>
  </si>
  <si>
    <t xml:space="preserve">Yht. </t>
  </si>
  <si>
    <t>Tk = Teknisen alan työ, Rk =Raamattu/ Kirjallisuus, Muu = Muu työ, M = Miehiä, N = Naisia, ES = Ei-suomal. työntekijä, luku ei sisälly lähettien kokonaismäärään</t>
  </si>
  <si>
    <t>(*)= Järjestöllä on toisen SLN:n jäsenjärjeston kanssa yhteislähettejä.</t>
  </si>
  <si>
    <t>Lähetystyöntekijät maanosittain</t>
  </si>
  <si>
    <t>Maanosat:</t>
  </si>
  <si>
    <t>Aasia</t>
  </si>
  <si>
    <t>Afrikka</t>
  </si>
  <si>
    <t>Oseania</t>
  </si>
  <si>
    <t>Lat.Amerikka</t>
  </si>
  <si>
    <t>P-Amerikka</t>
  </si>
  <si>
    <t>Eurooppa</t>
  </si>
  <si>
    <t>YHTEENSÄ</t>
  </si>
  <si>
    <t xml:space="preserve"> (*)= Järjestöllä on toisen SLN:n  jäsenjärjestön kanssa yhteistyötä.</t>
  </si>
  <si>
    <t>SUOMEEN ulkomaalaisten pariin lähetetyt,</t>
  </si>
  <si>
    <t>mutta alle 12 kk:n työkauteen sitoutuneet.</t>
  </si>
  <si>
    <t>lähetystyöntekijän statuksen saaneet lähetystyöntekijät.</t>
  </si>
  <si>
    <t>Suomen Pipliaseura (SPS)</t>
  </si>
  <si>
    <t xml:space="preserve">Suomen Pipliaseura (SPS) </t>
  </si>
  <si>
    <t>Suomen Baptistikirkko (*)</t>
  </si>
  <si>
    <r>
      <t>Selityksiä:</t>
    </r>
    <r>
      <rPr>
        <sz val="10"/>
        <rFont val="Arial"/>
        <family val="2"/>
      </rPr>
      <t xml:space="preserve">  Srk = Seurakunta- ja evankelioimistyö, Op = Opetustyö, TS = Terveydenhoito- ja sosiaalityö, Mt = Maa- ja metsätalous, Ha = Hallinnollinen työ, </t>
    </r>
  </si>
  <si>
    <t>10/40 ikkunassa toimivat työntekijät merkitään erikseen, vaikka he sisältyvät myös yllä mainittuihin tilastoihin. 10/40 ikkunaan kuuluvat maat (maat, joiden pinta-alasta vähintään puolet osuu leveyspiirien 10/40 väliin ns. 10/40 ikkunassa): Afganistan, Algeria, Bahrain, Bangladesh, Benin, Bhutan, Burkina Faso, Djibouti, Egypti, Etelä-Korea, Etiopia, Eritrea, Filippiinit. Gambia, Gibraltar, Guinea, Guinea-Bissau, Hongkong, Indonesia, Intia, Iran, Irak, Israel (ml. Gaza ja Länsiranta), Japani, Jemen, Jordania, Kambodzha, Kiina, Kreikka, Kuwait, Kypros, Laos, Libanon, Libya, Länsi-Sahara, Macau, Mali, Malta, Mauritania, Marokko, Myanmar, Nepal, Nigeria, Oman, Pakistan, Pohjois-Korea, Portuval, Qatar, Saudi-Arabia, Senegal, Sri Lanka, Sudan, Syyria, Taiwan, Tadshikistan, Thaimaa, Tsad, Tunisia, Turkki, Turkmenistan, Vietnam ja Yhdistyneet arabiemiirikunnat (luettelo ei ole täydellinen).</t>
  </si>
  <si>
    <t xml:space="preserve">Selityksiä: Srk= Seurakunta- ja evankelioimistyö, OP= Opetustyö, TS= Terveydenhoito- ja sosiaalityö, MT= Maa- ja metsätalous, HA-= Hallinnollinen työ, TK= Teknisenalan työ, </t>
  </si>
  <si>
    <t>Ulk = Ne lähetystyöntekijät, jotka ovat kunkin vuoden lopulla (31.12.) ulkomailla ja sitoutuneet vähintään 12 kuukauden työkauteen.</t>
  </si>
  <si>
    <t>Kot = Ne lähetystyöntekijät, jotka ovat palanneet kotimaahan viimeisen 24 kuukauden aikana ja ovat uudelleen lähdössä lähetystyöhön.</t>
  </si>
  <si>
    <t xml:space="preserve"> 31.12.2014</t>
  </si>
  <si>
    <t>sitoutuneet (ei sisälly kokonaistilastoon)</t>
  </si>
  <si>
    <t>MÄÄRÄAIKAISET, alle 6 kk:n työkauteen</t>
  </si>
  <si>
    <t>Järjestö</t>
  </si>
  <si>
    <t>Lähetysyhdistys Kylväjä</t>
  </si>
  <si>
    <t xml:space="preserve">Operaatio Mobilisaatio (OM) </t>
  </si>
  <si>
    <t>Yht. läht.t.</t>
  </si>
  <si>
    <t xml:space="preserve">Medialähetys Sanansaattajat (SANSA) </t>
  </si>
  <si>
    <t>Medialähetys Sanansaattajat (SANSA)</t>
  </si>
  <si>
    <t>Medialähetys Sanansaattajat  (SANSA)</t>
  </si>
  <si>
    <t>Ortodoksisen kirkon kansainvälinen diakonia ja lähetystyö Filantropia ry</t>
  </si>
  <si>
    <t>Suomen ev.lut Kansanlähetys (SEKL) (*)</t>
  </si>
  <si>
    <t>Missionskyrkan i Finland MKF (*)</t>
  </si>
  <si>
    <t>Missionskyrkan i Finland (MKF) (*)</t>
  </si>
  <si>
    <t xml:space="preserve">Israelin Ystävät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</si>
  <si>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</si>
  <si>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</si>
  <si>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</si>
  <si>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</si>
  <si>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</si>
  <si>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</si>
  <si>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</si>
  <si>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</si>
  <si>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</si>
  <si>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</si>
  <si>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</si>
  <si>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</si>
  <si>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</si>
  <si>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</si>
  <si>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</si>
  <si>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</si>
  <si>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</si>
  <si>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</si>
  <si>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</si>
  <si>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</si>
  <si>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</si>
  <si>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</si>
  <si>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</si>
  <si>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</si>
  <si>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</si>
  <si>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</si>
  <si>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</si>
  <si>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Column132</t>
  </si>
  <si>
    <t>Column133</t>
  </si>
  <si>
    <t>Column134</t>
  </si>
  <si>
    <t>Column135</t>
  </si>
  <si>
    <t>Column92</t>
  </si>
  <si>
    <t>Column152</t>
  </si>
  <si>
    <t>Column102</t>
  </si>
  <si>
    <t>Me</t>
  </si>
  <si>
    <t>Martyyrien ääni - The Voice of the Martyrs (ent. Stefanus-Lähetys ry)</t>
  </si>
  <si>
    <t>Marttyyrien ääni - The Voice of the Martyrs (ent. Stefanus-Lähetys ry)</t>
  </si>
  <si>
    <t>Sv. Luth. Evangeliföreningen i Finland (SLEF) (*)</t>
  </si>
  <si>
    <t xml:space="preserve"> Sv. Luth. Evangeliföreningen i Finland (SLEF) (*)</t>
  </si>
  <si>
    <t>31.12.2015</t>
  </si>
  <si>
    <t>KOTIMAASTA käsin tehtävä,</t>
  </si>
  <si>
    <t xml:space="preserve">Suomen Luterilainen Evankeliumiyhdistys (SLEY) </t>
  </si>
  <si>
    <t xml:space="preserve">Suomen Lut. Evankeliumiyhdistys (SLEY) </t>
  </si>
  <si>
    <r>
      <t xml:space="preserve">RK= Raamattu/ Kirjallisuus, Muu= Muu työ, M= Miehiä, N= Naisia, </t>
    </r>
    <r>
      <rPr>
        <b/>
        <sz val="10"/>
        <rFont val="Arial"/>
        <family val="2"/>
      </rPr>
      <t>ES= Ei-suomal. työntekijä, luku ei sisälly lähettien kokonaismäärään.</t>
    </r>
    <r>
      <rPr>
        <sz val="10"/>
        <rFont val="Arial"/>
        <family val="2"/>
      </rPr>
      <t xml:space="preserve"> </t>
    </r>
  </si>
  <si>
    <t>IRR-TV</t>
  </si>
  <si>
    <t>−</t>
  </si>
  <si>
    <t>(−)= ei tietoa</t>
  </si>
  <si>
    <t>31.12.2014</t>
  </si>
  <si>
    <t>31.12.2013</t>
  </si>
  <si>
    <t>31.12.2012</t>
  </si>
  <si>
    <t>31.12.2011</t>
  </si>
  <si>
    <t>31.12.2010</t>
  </si>
  <si>
    <t>31.12.2009</t>
  </si>
  <si>
    <t>Column136</t>
  </si>
  <si>
    <t>Column137</t>
  </si>
  <si>
    <t>Column138</t>
  </si>
  <si>
    <t>Column1362</t>
  </si>
  <si>
    <t>Column82</t>
  </si>
  <si>
    <t>Column154</t>
  </si>
  <si>
    <t xml:space="preserve"> ULKOMAILLE suuntautuva lähetystyö</t>
  </si>
  <si>
    <t>Suomen Vapaakirkko (SVK) (*)</t>
  </si>
  <si>
    <t>Suomen Vapaakirkko (SVK)  (*)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</si>
  <si>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</si>
  <si>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</si>
  <si>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</si>
  <si>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</si>
  <si>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</si>
  <si>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</si>
  <si>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</si>
  <si>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</si>
  <si>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</si>
  <si>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Column39</t>
  </si>
  <si>
    <t>Column40</t>
  </si>
  <si>
    <t>Column41</t>
  </si>
  <si>
    <t>Column42</t>
  </si>
  <si>
    <t>Column43</t>
  </si>
  <si>
    <t>31.12.2016</t>
  </si>
  <si>
    <t>Suomen Adventtikirkko (entinen jäsen, rivi jätetty vertailun takia)</t>
  </si>
  <si>
    <t>Suomen Adventtikirkko  (entinen jäsen, rivi jätetty vertailun takia)</t>
  </si>
  <si>
    <t>Finland sv. baptistsamfund</t>
  </si>
  <si>
    <t>Finlands sv. metodistkyrka</t>
  </si>
  <si>
    <t>Finlands sv. Pingstmission r.f.</t>
  </si>
  <si>
    <t>YWAM Finland ry</t>
  </si>
  <si>
    <t xml:space="preserve">Avainmedia </t>
  </si>
  <si>
    <t xml:space="preserve"> - </t>
  </si>
  <si>
    <t>Yht. läht.t.= yhteisten lähettien määrä</t>
  </si>
  <si>
    <t>Column1363</t>
  </si>
  <si>
    <t>Column213</t>
  </si>
  <si>
    <t>Column83</t>
  </si>
  <si>
    <t>Column153</t>
  </si>
  <si>
    <t>LÄHETYSTYÖN TILASTO 31.12.2017</t>
  </si>
  <si>
    <t>Column1364</t>
  </si>
  <si>
    <t>Yht.läh.t.</t>
  </si>
  <si>
    <t>MÄÄRÄAIKAISET, v:n 2017, väh. 6 kk:n,</t>
  </si>
  <si>
    <t>Suomen Helluntaiystävien Ulkolähetys ry (entinen jäsen, rivi jätetty vertailun takia)</t>
  </si>
  <si>
    <t xml:space="preserve"> -</t>
  </si>
  <si>
    <t xml:space="preserve">Huom. 2016 julkaistussa tilastossa virheelliset tiedot seuraavasti: </t>
  </si>
  <si>
    <t xml:space="preserve">2015 julkaistussa tilastossa tiedot olivat oikein: </t>
  </si>
  <si>
    <t xml:space="preserve">Huom: vuonna 2016 julkaistussa tilastossa alle 6 kk:n työkauteen sitoutuneiden määrä v. 2014 oli virheellinen (121). </t>
  </si>
  <si>
    <t xml:space="preserve">Lisäksi vuonna 2016 tilasto sisälsi virheellisen luvun (43) koskien kotimaasta käsin tehtävää, ulkomaille suuntautuvaa lähetystyötä.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</si>
</sst>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6" tint="-0.249977111117893"/>
      <name val="Arial"/>
      <family val="2"/>
    </font>
    <font>
      <sz val="10"/>
      <color theme="6"/>
      <name val="Arial"/>
      <family val="2"/>
    </font>
    <font>
      <sz val="10"/>
      <color theme="6" tint="-0.49998474074526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b/>
      <sz val="10"/>
      <color rgb="FFFF0000"/>
      <name val="Arial"/>
      <family val="2"/>
    </font>
    <font>
      <sz val="10"/>
      <color rgb="FF92D050"/>
      <name val="Arial"/>
      <family val="2"/>
    </font>
    <font>
      <b/>
      <sz val="10"/>
      <color rgb="FF00B05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4" fillId="2" borderId="0" xfId="0" applyFont="1" applyFill="1"/>
    <xf numFmtId="0" fontId="0" fillId="0" borderId="0" xfId="0"/>
    <xf numFmtId="0" fontId="6" fillId="0" borderId="0" xfId="0" applyFont="1"/>
    <xf numFmtId="0" fontId="7" fillId="0" borderId="0" xfId="0" applyFont="1"/>
    <xf numFmtId="0" fontId="5" fillId="2" borderId="0" xfId="0" applyFont="1" applyFill="1"/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Font="1"/>
    <xf numFmtId="14" fontId="5" fillId="0" borderId="0" xfId="0" applyNumberFormat="1" applyFont="1"/>
    <xf numFmtId="0" fontId="4" fillId="0" borderId="0" xfId="0" applyFont="1" applyFill="1"/>
    <xf numFmtId="0" fontId="8" fillId="0" borderId="0" xfId="0" applyFont="1" applyFill="1"/>
    <xf numFmtId="14" fontId="8" fillId="0" borderId="0" xfId="0" applyNumberFormat="1" applyFont="1" applyFill="1"/>
    <xf numFmtId="14" fontId="5" fillId="0" borderId="0" xfId="0" applyNumberFormat="1" applyFont="1" applyFill="1" applyAlignment="1">
      <alignment horizontal="right"/>
    </xf>
    <xf numFmtId="0" fontId="5" fillId="0" borderId="0" xfId="0" applyFont="1"/>
    <xf numFmtId="0" fontId="0" fillId="0" borderId="0" xfId="0"/>
    <xf numFmtId="0" fontId="0" fillId="0" borderId="0" xfId="0"/>
    <xf numFmtId="0" fontId="9" fillId="0" borderId="0" xfId="0" applyFont="1" applyFill="1"/>
    <xf numFmtId="0" fontId="9" fillId="0" borderId="0" xfId="0" applyFont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0" fillId="0" borderId="0" xfId="0" applyFont="1" applyFill="1"/>
    <xf numFmtId="0" fontId="7" fillId="5" borderId="0" xfId="0" applyFont="1" applyFill="1"/>
    <xf numFmtId="0" fontId="0" fillId="5" borderId="0" xfId="0" applyFont="1" applyFill="1"/>
    <xf numFmtId="0" fontId="0" fillId="0" borderId="0" xfId="0" applyFont="1"/>
    <xf numFmtId="0" fontId="6" fillId="5" borderId="0" xfId="0" applyFont="1" applyFill="1"/>
    <xf numFmtId="0" fontId="13" fillId="0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2" borderId="0" xfId="0" applyFont="1" applyFill="1"/>
    <xf numFmtId="0" fontId="0" fillId="0" borderId="0" xfId="0" applyFont="1"/>
    <xf numFmtId="0" fontId="0" fillId="0" borderId="0" xfId="0"/>
    <xf numFmtId="0" fontId="14" fillId="0" borderId="0" xfId="0" applyFont="1" applyFill="1"/>
    <xf numFmtId="0" fontId="0" fillId="0" borderId="0" xfId="0" applyFont="1"/>
    <xf numFmtId="0" fontId="8" fillId="0" borderId="0" xfId="0" applyFont="1"/>
    <xf numFmtId="0" fontId="5" fillId="0" borderId="1" xfId="0" applyFont="1" applyBorder="1"/>
    <xf numFmtId="0" fontId="15" fillId="0" borderId="0" xfId="0" applyFont="1"/>
    <xf numFmtId="0" fontId="15" fillId="0" borderId="0" xfId="0" applyFont="1" applyFill="1"/>
    <xf numFmtId="0" fontId="16" fillId="0" borderId="0" xfId="0" applyFont="1" applyFill="1"/>
    <xf numFmtId="0" fontId="0" fillId="0" borderId="1" xfId="0" applyFont="1" applyFill="1" applyBorder="1"/>
    <xf numFmtId="0" fontId="5" fillId="0" borderId="2" xfId="0" applyFont="1" applyFill="1" applyBorder="1"/>
    <xf numFmtId="0" fontId="0" fillId="0" borderId="2" xfId="0" applyFont="1" applyFill="1" applyBorder="1"/>
    <xf numFmtId="0" fontId="4" fillId="2" borderId="0" xfId="0" applyFont="1" applyFill="1" applyAlignment="1"/>
    <xf numFmtId="0" fontId="4" fillId="0" borderId="0" xfId="0" applyFont="1" applyFill="1" applyAlignment="1"/>
    <xf numFmtId="0" fontId="5" fillId="5" borderId="0" xfId="0" applyFont="1" applyFill="1"/>
    <xf numFmtId="0" fontId="5" fillId="0" borderId="1" xfId="0" applyFont="1" applyFill="1" applyBorder="1"/>
    <xf numFmtId="0" fontId="0" fillId="0" borderId="0" xfId="0"/>
    <xf numFmtId="0" fontId="5" fillId="4" borderId="0" xfId="0" applyFont="1" applyFill="1"/>
    <xf numFmtId="0" fontId="9" fillId="0" borderId="0" xfId="0" applyNumberFormat="1" applyFont="1" applyFill="1"/>
    <xf numFmtId="0" fontId="0" fillId="0" borderId="0" xfId="0" applyFont="1"/>
    <xf numFmtId="0" fontId="6" fillId="0" borderId="0" xfId="0" applyFont="1" applyFill="1"/>
    <xf numFmtId="0" fontId="7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left"/>
    </xf>
    <xf numFmtId="14" fontId="5" fillId="8" borderId="1" xfId="0" applyNumberFormat="1" applyFont="1" applyFill="1" applyBorder="1"/>
    <xf numFmtId="0" fontId="17" fillId="0" borderId="0" xfId="0" applyFont="1" applyFill="1"/>
    <xf numFmtId="0" fontId="17" fillId="6" borderId="0" xfId="0" applyFont="1" applyFill="1"/>
    <xf numFmtId="0" fontId="13" fillId="0" borderId="0" xfId="0" applyFont="1"/>
    <xf numFmtId="0" fontId="13" fillId="3" borderId="0" xfId="0" applyFont="1" applyFill="1"/>
    <xf numFmtId="1" fontId="8" fillId="0" borderId="0" xfId="0" applyNumberFormat="1" applyFont="1" applyFill="1"/>
    <xf numFmtId="0" fontId="13" fillId="2" borderId="0" xfId="0" applyFont="1" applyFill="1"/>
    <xf numFmtId="0" fontId="0" fillId="0" borderId="0" xfId="0" applyFont="1"/>
    <xf numFmtId="0" fontId="5" fillId="0" borderId="4" xfId="0" applyFont="1" applyBorder="1"/>
    <xf numFmtId="0" fontId="5" fillId="9" borderId="5" xfId="0" applyFont="1" applyFill="1" applyBorder="1"/>
    <xf numFmtId="0" fontId="0" fillId="10" borderId="0" xfId="0" applyFont="1" applyFill="1"/>
    <xf numFmtId="0" fontId="0" fillId="10" borderId="2" xfId="0" applyFont="1" applyFill="1" applyBorder="1"/>
    <xf numFmtId="0" fontId="5" fillId="10" borderId="2" xfId="0" applyFont="1" applyFill="1" applyBorder="1"/>
    <xf numFmtId="0" fontId="11" fillId="10" borderId="2" xfId="0" applyFont="1" applyFill="1" applyBorder="1" applyAlignment="1"/>
    <xf numFmtId="0" fontId="13" fillId="10" borderId="2" xfId="0" applyFont="1" applyFill="1" applyBorder="1"/>
    <xf numFmtId="0" fontId="0" fillId="10" borderId="1" xfId="0" applyFont="1" applyFill="1" applyBorder="1"/>
    <xf numFmtId="0" fontId="5" fillId="10" borderId="1" xfId="0" applyFont="1" applyFill="1" applyBorder="1"/>
    <xf numFmtId="0" fontId="5" fillId="10" borderId="3" xfId="0" applyFont="1" applyFill="1" applyBorder="1"/>
    <xf numFmtId="0" fontId="0" fillId="0" borderId="0" xfId="0" applyFont="1"/>
    <xf numFmtId="0" fontId="0" fillId="0" borderId="0" xfId="0"/>
    <xf numFmtId="0" fontId="0" fillId="0" borderId="6" xfId="0" applyFont="1" applyBorder="1"/>
    <xf numFmtId="0" fontId="0" fillId="0" borderId="7" xfId="0" applyFont="1" applyBorder="1"/>
    <xf numFmtId="0" fontId="15" fillId="3" borderId="0" xfId="0" applyFont="1" applyFill="1" applyBorder="1"/>
    <xf numFmtId="0" fontId="8" fillId="0" borderId="0" xfId="0" applyFont="1" applyFill="1" applyBorder="1"/>
    <xf numFmtId="14" fontId="8" fillId="0" borderId="0" xfId="0" applyNumberFormat="1" applyFont="1" applyFill="1" applyBorder="1"/>
    <xf numFmtId="0" fontId="18" fillId="0" borderId="0" xfId="0" applyFont="1" applyFill="1"/>
    <xf numFmtId="0" fontId="19" fillId="0" borderId="0" xfId="0" applyFont="1" applyFill="1"/>
    <xf numFmtId="14" fontId="5" fillId="7" borderId="2" xfId="0" applyNumberFormat="1" applyFont="1" applyFill="1" applyBorder="1"/>
    <xf numFmtId="0" fontId="5" fillId="3" borderId="0" xfId="0" applyFont="1" applyFill="1" applyBorder="1"/>
    <xf numFmtId="0" fontId="5" fillId="0" borderId="0" xfId="0" applyFont="1" applyFill="1" applyBorder="1"/>
    <xf numFmtId="0" fontId="5" fillId="0" borderId="0" xfId="0" applyNumberFormat="1" applyFont="1" applyFill="1"/>
    <xf numFmtId="0" fontId="13" fillId="0" borderId="1" xfId="0" applyFont="1" applyFill="1" applyBorder="1"/>
    <xf numFmtId="0" fontId="13" fillId="0" borderId="9" xfId="0" applyFont="1" applyFill="1" applyBorder="1"/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0" xfId="0" applyFont="1" applyFill="1" applyBorder="1"/>
    <xf numFmtId="0" fontId="13" fillId="0" borderId="12" xfId="0" applyFont="1" applyFill="1" applyBorder="1"/>
    <xf numFmtId="0" fontId="13" fillId="0" borderId="13" xfId="0" applyFont="1" applyFill="1" applyBorder="1"/>
    <xf numFmtId="46" fontId="13" fillId="0" borderId="14" xfId="0" applyNumberFormat="1" applyFont="1" applyFill="1" applyBorder="1"/>
    <xf numFmtId="0" fontId="13" fillId="0" borderId="14" xfId="0" applyFont="1" applyFill="1" applyBorder="1"/>
    <xf numFmtId="0" fontId="13" fillId="0" borderId="15" xfId="0" applyFont="1" applyFill="1" applyBorder="1"/>
    <xf numFmtId="0" fontId="0" fillId="0" borderId="0" xfId="0" applyFont="1"/>
    <xf numFmtId="0" fontId="0" fillId="0" borderId="0" xfId="0"/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</cellXfs>
  <cellStyles count="2">
    <cellStyle name="Normaali" xfId="0" builtinId="0"/>
    <cellStyle name="Normaali 2" xfId="1"/>
  </cellStyles>
  <dxfs count="1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\p.\k.\v\v\v\v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5:AZ35" totalsRowShown="0" headerRowDxfId="145" dataDxfId="144">
  <autoFilter ref="A5:AZ35"/>
  <tableColumns count="52">
    <tableColumn id="1" name="Column1" dataDxfId="143"/>
    <tableColumn id="2" name="Column2" dataDxfId="142"/>
    <tableColumn id="3" name="Column3" dataDxfId="141"/>
    <tableColumn id="4" name="Column4" dataDxfId="140"/>
    <tableColumn id="5" name="Column5" dataDxfId="139"/>
    <tableColumn id="6" name="Column6" dataDxfId="138"/>
    <tableColumn id="7" name="Column7" dataDxfId="137"/>
    <tableColumn id="8" name="Column8" dataDxfId="136"/>
    <tableColumn id="9" name="Column9" dataDxfId="135"/>
    <tableColumn id="10" name="Column10" dataDxfId="134"/>
    <tableColumn id="33" name="Column102" dataDxfId="133"/>
    <tableColumn id="11" name="Column11" dataDxfId="132"/>
    <tableColumn id="12" name="Column12" dataDxfId="131"/>
    <tableColumn id="13" name="Column13" dataDxfId="130"/>
    <tableColumn id="37" name="Column138" dataDxfId="129">
      <calculatedColumnFormula>SUM(B6:C6)</calculatedColumnFormula>
    </tableColumn>
    <tableColumn id="35" name="Column137" dataDxfId="128">
      <calculatedColumnFormula>SUM(D6:L6)</calculatedColumnFormula>
    </tableColumn>
    <tableColumn id="34" name="Column136" dataDxfId="127">
      <calculatedColumnFormula>SUM(M6:N6)</calculatedColumnFormula>
    </tableColumn>
    <tableColumn id="57" name="Column1364" dataDxfId="126"/>
    <tableColumn id="55" name="Column1363" dataDxfId="125"/>
    <tableColumn id="39" name="Column1362" dataDxfId="124"/>
    <tableColumn id="31" name="Column135" dataDxfId="123">
      <calculatedColumnFormula>SUM(B6:C6)</calculatedColumnFormula>
    </tableColumn>
    <tableColumn id="30" name="Column134" dataDxfId="122">
      <calculatedColumnFormula>SUM(D6:L6)</calculatedColumnFormula>
    </tableColumn>
    <tableColumn id="29" name="Column133" dataDxfId="121">
      <calculatedColumnFormula>SUM(M6:N6)</calculatedColumnFormula>
    </tableColumn>
    <tableColumn id="28" name="Column132" dataDxfId="120"/>
    <tableColumn id="14" name="Column14" dataDxfId="119"/>
    <tableColumn id="15" name="Column15" dataDxfId="118"/>
    <tableColumn id="16" name="Column16" dataDxfId="117"/>
    <tableColumn id="17" name="Column17" dataDxfId="116"/>
    <tableColumn id="18" name="Column18" dataDxfId="115"/>
    <tableColumn id="19" name="Column19" dataDxfId="114"/>
    <tableColumn id="20" name="Column20" dataDxfId="113"/>
    <tableColumn id="21" name="Column21" dataDxfId="112"/>
    <tableColumn id="22" name="Column22" dataDxfId="111"/>
    <tableColumn id="23" name="Column23" dataDxfId="110"/>
    <tableColumn id="24" name="Column24" dataDxfId="109"/>
    <tableColumn id="25" name="Column25" dataDxfId="108"/>
    <tableColumn id="26" name="Column26" dataDxfId="107"/>
    <tableColumn id="27" name="Column27" dataDxfId="106"/>
    <tableColumn id="32" name="Column28" dataDxfId="105"/>
    <tableColumn id="36" name="Column29" dataDxfId="104"/>
    <tableColumn id="38" name="Column30" dataDxfId="103"/>
    <tableColumn id="40" name="Column31" dataDxfId="102"/>
    <tableColumn id="41" name="Column32" dataDxfId="101"/>
    <tableColumn id="42" name="Column33" dataDxfId="100"/>
    <tableColumn id="53" name="Column35" dataDxfId="99"/>
    <tableColumn id="43" name="Column34" dataDxfId="98"/>
    <tableColumn id="45" name="Column36" dataDxfId="97"/>
    <tableColumn id="48" name="Column39" dataDxfId="96"/>
    <tableColumn id="49" name="Column40" dataDxfId="95"/>
    <tableColumn id="50" name="Column41" dataDxfId="94"/>
    <tableColumn id="51" name="Column42" dataDxfId="93"/>
    <tableColumn id="52" name="Column43" dataDxfId="92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:AL36" totalsRowShown="0" headerRowDxfId="91" dataDxfId="90">
  <autoFilter ref="A4:AL36"/>
  <tableColumns count="38">
    <tableColumn id="1" name="Column1" dataDxfId="89"/>
    <tableColumn id="2" name="Column2" dataDxfId="88"/>
    <tableColumn id="3" name="Column3" dataDxfId="87"/>
    <tableColumn id="4" name="Column4" dataDxfId="86"/>
    <tableColumn id="5" name="Column5" dataDxfId="85"/>
    <tableColumn id="6" name="Column6" dataDxfId="84"/>
    <tableColumn id="7" name="Column7" dataDxfId="83"/>
    <tableColumn id="8" name="Column8" dataDxfId="82"/>
    <tableColumn id="9" name="Column9" dataDxfId="81"/>
    <tableColumn id="10" name="Column10" dataDxfId="80"/>
    <tableColumn id="26" name="Column102" dataDxfId="79"/>
    <tableColumn id="11" name="Column11" dataDxfId="78"/>
    <tableColumn id="12" name="Column12" dataDxfId="77"/>
    <tableColumn id="13" name="Column13" dataDxfId="76"/>
    <tableColumn id="28" name="Column137" dataDxfId="75">
      <calculatedColumnFormula>SUM(B5:C5)</calculatedColumnFormula>
    </tableColumn>
    <tableColumn id="27" name="Column136" dataDxfId="74">
      <calculatedColumnFormula>SUM(D5:L5)</calculatedColumnFormula>
    </tableColumn>
    <tableColumn id="23" name="Column133" dataDxfId="73">
      <calculatedColumnFormula>SUM(M5:N5)</calculatedColumnFormula>
    </tableColumn>
    <tableColumn id="25" name="Column135" dataDxfId="72">
      <calculatedColumnFormula>SUM(B5:C5)</calculatedColumnFormula>
    </tableColumn>
    <tableColumn id="24" name="Column134" dataDxfId="71">
      <calculatedColumnFormula>SUM(D5:L5)</calculatedColumnFormula>
    </tableColumn>
    <tableColumn id="22" name="Column132" dataDxfId="70">
      <calculatedColumnFormula>SUM(M5:N5)</calculatedColumnFormula>
    </tableColumn>
    <tableColumn id="14" name="Column14" dataDxfId="69"/>
    <tableColumn id="15" name="Column15" dataDxfId="68"/>
    <tableColumn id="16" name="Column16" dataDxfId="67"/>
    <tableColumn id="17" name="Column17" dataDxfId="66"/>
    <tableColumn id="18" name="Column18" dataDxfId="65"/>
    <tableColumn id="19" name="Column19" dataDxfId="64"/>
    <tableColumn id="20" name="Column20" dataDxfId="63"/>
    <tableColumn id="21" name="Column21" dataDxfId="62"/>
    <tableColumn id="39" name="Column213" dataDxfId="61"/>
    <tableColumn id="29" name="Column22" dataDxfId="60"/>
    <tableColumn id="30" name="Column23" dataDxfId="59"/>
    <tableColumn id="31" name="Column24" dataDxfId="58"/>
    <tableColumn id="32" name="Column25" dataDxfId="57"/>
    <tableColumn id="33" name="Column26" dataDxfId="56"/>
    <tableColumn id="34" name="Column27" dataDxfId="55"/>
    <tableColumn id="35" name="Column28" dataDxfId="54"/>
    <tableColumn id="36" name="Column29" dataDxfId="53"/>
    <tableColumn id="37" name="Column30" dataDxfId="52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4:X36" totalsRowShown="0" headerRowDxfId="51" dataDxfId="50">
  <autoFilter ref="A4:X36"/>
  <tableColumns count="24">
    <tableColumn id="1" name="Column1" dataDxfId="49"/>
    <tableColumn id="2" name="Column2" dataDxfId="48"/>
    <tableColumn id="3" name="Column3" dataDxfId="47"/>
    <tableColumn id="4" name="Column4" dataDxfId="46"/>
    <tableColumn id="5" name="Column5" dataDxfId="45"/>
    <tableColumn id="6" name="Column6" dataDxfId="44"/>
    <tableColumn id="7" name="Column7" dataDxfId="43"/>
    <tableColumn id="8" name="Column8" dataDxfId="42"/>
    <tableColumn id="16" name="Column82" dataDxfId="41">
      <calculatedColumnFormula>SUM(A5:G5)</calculatedColumnFormula>
    </tableColumn>
    <tableColumn id="24" name="Column83" dataDxfId="40"/>
    <tableColumn id="15" name="Column9" dataDxfId="39"/>
    <tableColumn id="9" name="Column92" dataDxfId="38"/>
    <tableColumn id="10" name="Column10" dataDxfId="37"/>
    <tableColumn id="11" name="Column11" dataDxfId="36"/>
    <tableColumn id="12" name="Column12" dataDxfId="35"/>
    <tableColumn id="13" name="Column13" dataDxfId="34"/>
    <tableColumn id="14" name="Column14" dataDxfId="33"/>
    <tableColumn id="17" name="Column15" dataDxfId="32"/>
    <tableColumn id="18" name="Column16" dataDxfId="31"/>
    <tableColumn id="19" name="Column17" dataDxfId="30"/>
    <tableColumn id="20" name="Column18" dataDxfId="29"/>
    <tableColumn id="21" name="Column19" dataDxfId="28"/>
    <tableColumn id="22" name="Column20" dataDxfId="27"/>
    <tableColumn id="23" name="Column21" dataDxfId="26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4:Y39" totalsRowShown="0" headerRowDxfId="25" dataDxfId="24">
  <autoFilter ref="A4:Y39"/>
  <tableColumns count="25">
    <tableColumn id="1" name="Column1" dataDxfId="23"/>
    <tableColumn id="22" name="Column19"/>
    <tableColumn id="18" name="Column18" dataDxfId="22"/>
    <tableColumn id="17" name="Column17" dataDxfId="21"/>
    <tableColumn id="2" name="Column2" dataDxfId="20"/>
    <tableColumn id="3" name="Column3" dataDxfId="19"/>
    <tableColumn id="4" name="Column4" dataDxfId="18"/>
    <tableColumn id="5" name="Column5" dataDxfId="17"/>
    <tableColumn id="6" name="Column6" dataDxfId="16"/>
    <tableColumn id="7" name="Column7" dataDxfId="15"/>
    <tableColumn id="8" name="Column8" dataDxfId="14"/>
    <tableColumn id="26" name="Column83" dataDxfId="13"/>
    <tableColumn id="21" name="Column82" dataDxfId="12"/>
    <tableColumn id="9" name="Column9" dataDxfId="11"/>
    <tableColumn id="19" name="Column92" dataDxfId="10"/>
    <tableColumn id="10" name="Column10" dataDxfId="9"/>
    <tableColumn id="11" name="Column11" dataDxfId="8"/>
    <tableColumn id="12" name="Column12" dataDxfId="7"/>
    <tableColumn id="13" name="Column13" dataDxfId="6"/>
    <tableColumn id="14" name="Column14" dataDxfId="5"/>
    <tableColumn id="15" name="Column15" dataDxfId="4"/>
    <tableColumn id="27" name="Column153" dataDxfId="3"/>
    <tableColumn id="23" name="Column154" dataDxfId="2"/>
    <tableColumn id="20" name="Column152" dataDxfId="1"/>
    <tableColumn id="16" name="Column16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Custom 5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B9AD8D"/>
      </a:accent1>
      <a:accent2>
        <a:srgbClr val="FF0000"/>
      </a:accent2>
      <a:accent3>
        <a:srgbClr val="0C0C0C"/>
      </a:accent3>
      <a:accent4>
        <a:srgbClr val="A5A5A5"/>
      </a:accent4>
      <a:accent5>
        <a:srgbClr val="D8D8D8"/>
      </a:accent5>
      <a:accent6>
        <a:srgbClr val="363636"/>
      </a:accent6>
      <a:hlink>
        <a:srgbClr val="C1038F"/>
      </a:hlink>
      <a:folHlink>
        <a:srgbClr val="BA690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I1048575"/>
  <sheetViews>
    <sheetView tabSelected="1" zoomScale="60" zoomScaleNormal="60" workbookViewId="0">
      <pane xSplit="1" topLeftCell="B1" activePane="topRight" state="frozen"/>
      <selection pane="topRight" activeCell="A2" sqref="A2"/>
    </sheetView>
  </sheetViews>
  <sheetFormatPr defaultColWidth="8.85546875" defaultRowHeight="12.75" x14ac:dyDescent="0.2"/>
  <cols>
    <col min="1" max="1" width="70.28515625" style="25" customWidth="1"/>
    <col min="2" max="9" width="10.140625" style="25" customWidth="1"/>
    <col min="10" max="14" width="11.140625" style="25" customWidth="1"/>
    <col min="15" max="17" width="11.140625" style="34" customWidth="1"/>
    <col min="18" max="19" width="11.140625" style="73" customWidth="1"/>
    <col min="20" max="20" width="11.140625" style="34" customWidth="1"/>
    <col min="21" max="23" width="11.140625" style="25" hidden="1" customWidth="1"/>
    <col min="24" max="24" width="12.42578125" style="25" hidden="1" customWidth="1"/>
    <col min="25" max="25" width="11.85546875" style="25" hidden="1" customWidth="1"/>
    <col min="26" max="26" width="12.42578125" style="25" hidden="1" customWidth="1"/>
    <col min="27" max="30" width="11.42578125" style="25" hidden="1" customWidth="1"/>
    <col min="31" max="31" width="11" style="25" hidden="1" customWidth="1"/>
    <col min="32" max="32" width="12" style="25" hidden="1" customWidth="1"/>
    <col min="33" max="33" width="11.28515625" style="25" hidden="1" customWidth="1"/>
    <col min="34" max="34" width="12.28515625" style="25" hidden="1" customWidth="1"/>
    <col min="35" max="35" width="13" style="25" hidden="1" customWidth="1"/>
    <col min="36" max="36" width="11.28515625" style="25" hidden="1" customWidth="1"/>
    <col min="37" max="37" width="11.7109375" style="25" hidden="1" customWidth="1"/>
    <col min="38" max="38" width="12.7109375" style="25" hidden="1" customWidth="1"/>
    <col min="39" max="39" width="11.28515625" style="25" customWidth="1"/>
    <col min="40" max="40" width="12.42578125" style="25" customWidth="1"/>
    <col min="41" max="41" width="16.42578125" style="25" hidden="1" customWidth="1"/>
    <col min="42" max="42" width="13.42578125" style="25" customWidth="1"/>
    <col min="43" max="43" width="12.28515625" style="25" hidden="1" customWidth="1"/>
    <col min="44" max="44" width="13.5703125" style="25" customWidth="1"/>
    <col min="45" max="45" width="11.7109375" style="62" customWidth="1"/>
    <col min="46" max="46" width="12.28515625" style="25" customWidth="1"/>
    <col min="47" max="51" width="8.85546875" style="25"/>
    <col min="52" max="52" width="9.5703125" style="25" customWidth="1"/>
    <col min="53" max="16384" width="8.85546875" style="25"/>
  </cols>
  <sheetData>
    <row r="1" spans="1:295" s="28" customFormat="1" x14ac:dyDescent="0.2">
      <c r="A1" s="27" t="s">
        <v>0</v>
      </c>
      <c r="B1" s="78"/>
      <c r="C1" s="78"/>
      <c r="D1" s="78"/>
      <c r="E1" s="78" t="s">
        <v>172</v>
      </c>
      <c r="F1" s="78"/>
      <c r="G1" s="78"/>
      <c r="H1" s="78"/>
      <c r="I1" s="78" t="s">
        <v>1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83"/>
      <c r="AN1" s="83"/>
      <c r="AO1" s="83"/>
      <c r="AP1" s="83"/>
      <c r="AQ1" s="83"/>
      <c r="AR1" s="83"/>
      <c r="AS1" s="83"/>
      <c r="AT1" s="83"/>
      <c r="AU1" s="77"/>
      <c r="AV1" s="77"/>
      <c r="AW1" s="77"/>
      <c r="AX1" s="77"/>
      <c r="AY1" s="77"/>
      <c r="AZ1" s="77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</row>
    <row r="2" spans="1:295" s="28" customFormat="1" x14ac:dyDescent="0.2">
      <c r="A2" s="27"/>
      <c r="B2" s="78"/>
      <c r="C2" s="78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83"/>
      <c r="AN2" s="83"/>
      <c r="AO2" s="83"/>
      <c r="AP2" s="83"/>
      <c r="AQ2" s="83"/>
      <c r="AR2" s="83"/>
      <c r="AS2" s="83"/>
      <c r="AT2" s="83"/>
      <c r="AU2" s="77"/>
      <c r="AV2" s="77"/>
      <c r="AW2" s="77"/>
      <c r="AX2" s="77"/>
      <c r="AY2" s="77"/>
      <c r="AZ2" s="77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</row>
    <row r="3" spans="1:295" s="35" customFormat="1" x14ac:dyDescent="0.2">
      <c r="A3" s="11" t="s">
        <v>2</v>
      </c>
      <c r="B3" s="78" t="s">
        <v>3</v>
      </c>
      <c r="C3" s="78"/>
      <c r="D3" s="78" t="s">
        <v>4</v>
      </c>
      <c r="E3" s="78"/>
      <c r="F3" s="78"/>
      <c r="G3" s="78"/>
      <c r="H3" s="78"/>
      <c r="I3" s="78"/>
      <c r="J3" s="78"/>
      <c r="K3" s="78"/>
      <c r="L3" s="78"/>
      <c r="M3" s="78" t="s">
        <v>5</v>
      </c>
      <c r="N3" s="78"/>
      <c r="O3" s="78">
        <v>2017</v>
      </c>
      <c r="P3" s="78">
        <v>2017</v>
      </c>
      <c r="Q3" s="78">
        <v>2017</v>
      </c>
      <c r="R3" s="78">
        <v>2017</v>
      </c>
      <c r="S3" s="78">
        <v>2016</v>
      </c>
      <c r="T3" s="78">
        <v>2016</v>
      </c>
      <c r="U3" s="78">
        <v>2015</v>
      </c>
      <c r="V3" s="78">
        <v>2015</v>
      </c>
      <c r="W3" s="78">
        <v>2015</v>
      </c>
      <c r="X3" s="79">
        <v>42369</v>
      </c>
      <c r="Y3" s="79">
        <v>42004</v>
      </c>
      <c r="Z3" s="79">
        <v>42004</v>
      </c>
      <c r="AA3" s="79">
        <v>42004</v>
      </c>
      <c r="AB3" s="79">
        <v>42004</v>
      </c>
      <c r="AC3" s="79">
        <v>41639</v>
      </c>
      <c r="AD3" s="79">
        <v>41639</v>
      </c>
      <c r="AE3" s="78">
        <v>2012</v>
      </c>
      <c r="AF3" s="78">
        <v>2012</v>
      </c>
      <c r="AG3" s="78">
        <v>2012</v>
      </c>
      <c r="AH3" s="78">
        <v>2012</v>
      </c>
      <c r="AI3" s="78">
        <v>2011</v>
      </c>
      <c r="AJ3" s="78">
        <v>2011</v>
      </c>
      <c r="AK3" s="78">
        <v>2010</v>
      </c>
      <c r="AL3" s="78">
        <v>2010</v>
      </c>
      <c r="AM3" s="78">
        <v>2015</v>
      </c>
      <c r="AN3" s="79">
        <v>42369</v>
      </c>
      <c r="AO3" s="79">
        <v>42004</v>
      </c>
      <c r="AP3" s="79">
        <v>42004</v>
      </c>
      <c r="AQ3" s="79">
        <v>42004</v>
      </c>
      <c r="AR3" s="79">
        <v>42004</v>
      </c>
      <c r="AS3" s="79">
        <v>41639</v>
      </c>
      <c r="AT3" s="79">
        <v>41639</v>
      </c>
      <c r="AU3" s="78">
        <v>2012</v>
      </c>
      <c r="AV3" s="78">
        <v>2012</v>
      </c>
      <c r="AW3" s="78">
        <v>2011</v>
      </c>
      <c r="AX3" s="78">
        <v>2011</v>
      </c>
      <c r="AY3" s="78">
        <v>2010</v>
      </c>
      <c r="AZ3" s="78">
        <v>2010</v>
      </c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</row>
    <row r="4" spans="1:295" s="35" customFormat="1" x14ac:dyDescent="0.2">
      <c r="A4" s="11"/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116</v>
      </c>
      <c r="L4" s="11" t="s">
        <v>15</v>
      </c>
      <c r="M4" s="11" t="s">
        <v>16</v>
      </c>
      <c r="N4" s="11" t="s">
        <v>17</v>
      </c>
      <c r="O4" s="11" t="s">
        <v>18</v>
      </c>
      <c r="P4" s="11" t="s">
        <v>19</v>
      </c>
      <c r="Q4" s="11" t="s">
        <v>20</v>
      </c>
      <c r="R4" s="11" t="s">
        <v>174</v>
      </c>
      <c r="S4" s="11" t="s">
        <v>43</v>
      </c>
      <c r="T4" s="11" t="s">
        <v>73</v>
      </c>
      <c r="U4" s="11" t="s">
        <v>18</v>
      </c>
      <c r="V4" s="11" t="s">
        <v>19</v>
      </c>
      <c r="W4" s="11" t="s">
        <v>20</v>
      </c>
      <c r="X4" s="11" t="s">
        <v>73</v>
      </c>
      <c r="Y4" s="11" t="s">
        <v>18</v>
      </c>
      <c r="Z4" s="11" t="s">
        <v>19</v>
      </c>
      <c r="AA4" s="11" t="s">
        <v>20</v>
      </c>
      <c r="AB4" s="11" t="s">
        <v>73</v>
      </c>
      <c r="AC4" s="11" t="s">
        <v>21</v>
      </c>
      <c r="AD4" s="11" t="s">
        <v>43</v>
      </c>
      <c r="AE4" s="11" t="s">
        <v>18</v>
      </c>
      <c r="AF4" s="11" t="s">
        <v>19</v>
      </c>
      <c r="AG4" s="11" t="s">
        <v>20</v>
      </c>
      <c r="AH4" s="11" t="s">
        <v>21</v>
      </c>
      <c r="AI4" s="11" t="s">
        <v>22</v>
      </c>
      <c r="AJ4" s="11" t="s">
        <v>23</v>
      </c>
      <c r="AK4" s="11" t="s">
        <v>22</v>
      </c>
      <c r="AL4" s="11" t="s">
        <v>23</v>
      </c>
      <c r="AM4" s="11" t="s">
        <v>22</v>
      </c>
      <c r="AN4" s="11" t="s">
        <v>73</v>
      </c>
      <c r="AO4" s="11" t="s">
        <v>18</v>
      </c>
      <c r="AP4" s="11" t="s">
        <v>43</v>
      </c>
      <c r="AQ4" s="11" t="s">
        <v>20</v>
      </c>
      <c r="AR4" s="11" t="s">
        <v>73</v>
      </c>
      <c r="AS4" s="11" t="s">
        <v>43</v>
      </c>
      <c r="AT4" s="11" t="s">
        <v>21</v>
      </c>
      <c r="AU4" s="11" t="s">
        <v>43</v>
      </c>
      <c r="AV4" s="11" t="s">
        <v>21</v>
      </c>
      <c r="AW4" s="11" t="s">
        <v>22</v>
      </c>
      <c r="AX4" s="11" t="s">
        <v>23</v>
      </c>
      <c r="AY4" s="11" t="s">
        <v>22</v>
      </c>
      <c r="AZ4" s="11" t="s">
        <v>23</v>
      </c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</row>
    <row r="5" spans="1:295" ht="12.75" hidden="1" customHeight="1" x14ac:dyDescent="0.2">
      <c r="A5" s="22" t="s">
        <v>82</v>
      </c>
      <c r="B5" s="38" t="s">
        <v>83</v>
      </c>
      <c r="C5" s="38" t="s">
        <v>84</v>
      </c>
      <c r="D5" s="38" t="s">
        <v>85</v>
      </c>
      <c r="E5" s="38" t="s">
        <v>86</v>
      </c>
      <c r="F5" s="38" t="s">
        <v>87</v>
      </c>
      <c r="G5" s="38" t="s">
        <v>88</v>
      </c>
      <c r="H5" s="38" t="s">
        <v>89</v>
      </c>
      <c r="I5" s="38" t="s">
        <v>90</v>
      </c>
      <c r="J5" s="38" t="s">
        <v>91</v>
      </c>
      <c r="K5" s="38" t="s">
        <v>115</v>
      </c>
      <c r="L5" s="38" t="s">
        <v>92</v>
      </c>
      <c r="M5" s="38" t="s">
        <v>93</v>
      </c>
      <c r="N5" s="38" t="s">
        <v>94</v>
      </c>
      <c r="O5" s="38" t="s">
        <v>137</v>
      </c>
      <c r="P5" s="38" t="s">
        <v>136</v>
      </c>
      <c r="Q5" s="38" t="s">
        <v>135</v>
      </c>
      <c r="R5" s="38" t="s">
        <v>173</v>
      </c>
      <c r="S5" s="80" t="s">
        <v>168</v>
      </c>
      <c r="T5" s="80" t="s">
        <v>138</v>
      </c>
      <c r="U5" s="22" t="s">
        <v>112</v>
      </c>
      <c r="V5" s="22" t="s">
        <v>111</v>
      </c>
      <c r="W5" s="22" t="s">
        <v>110</v>
      </c>
      <c r="X5" s="22" t="s">
        <v>109</v>
      </c>
      <c r="Y5" s="22" t="s">
        <v>95</v>
      </c>
      <c r="Z5" s="22" t="s">
        <v>96</v>
      </c>
      <c r="AA5" s="22" t="s">
        <v>97</v>
      </c>
      <c r="AB5" s="22" t="s">
        <v>98</v>
      </c>
      <c r="AC5" s="22" t="s">
        <v>99</v>
      </c>
      <c r="AD5" s="22" t="s">
        <v>100</v>
      </c>
      <c r="AE5" s="22" t="s">
        <v>101</v>
      </c>
      <c r="AF5" s="22" t="s">
        <v>102</v>
      </c>
      <c r="AG5" s="22" t="s">
        <v>103</v>
      </c>
      <c r="AH5" s="22" t="s">
        <v>104</v>
      </c>
      <c r="AI5" s="22" t="s">
        <v>105</v>
      </c>
      <c r="AJ5" s="22" t="s">
        <v>106</v>
      </c>
      <c r="AK5" s="22" t="s">
        <v>107</v>
      </c>
      <c r="AL5" s="22" t="s">
        <v>108</v>
      </c>
      <c r="AM5" s="6" t="s">
        <v>144</v>
      </c>
      <c r="AN5" s="6" t="s">
        <v>145</v>
      </c>
      <c r="AO5" s="6" t="s">
        <v>146</v>
      </c>
      <c r="AP5" s="6" t="s">
        <v>147</v>
      </c>
      <c r="AQ5" s="6" t="s">
        <v>148</v>
      </c>
      <c r="AR5" s="6" t="s">
        <v>149</v>
      </c>
      <c r="AS5" s="6" t="s">
        <v>151</v>
      </c>
      <c r="AT5" s="6" t="s">
        <v>150</v>
      </c>
      <c r="AU5" s="6" t="s">
        <v>152</v>
      </c>
      <c r="AV5" s="6" t="s">
        <v>153</v>
      </c>
      <c r="AW5" s="6" t="s">
        <v>154</v>
      </c>
      <c r="AX5" s="6" t="s">
        <v>155</v>
      </c>
      <c r="AY5" s="6" t="s">
        <v>156</v>
      </c>
      <c r="AZ5" s="6" t="s">
        <v>157</v>
      </c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</row>
    <row r="6" spans="1:295" s="24" customFormat="1" x14ac:dyDescent="0.2">
      <c r="A6" s="6" t="s">
        <v>24</v>
      </c>
      <c r="B6" s="6" t="s">
        <v>177</v>
      </c>
      <c r="C6" s="6" t="s">
        <v>177</v>
      </c>
      <c r="D6" s="6" t="s">
        <v>177</v>
      </c>
      <c r="E6" s="6" t="s">
        <v>177</v>
      </c>
      <c r="F6" s="6" t="s">
        <v>177</v>
      </c>
      <c r="G6" s="6" t="s">
        <v>177</v>
      </c>
      <c r="H6" s="6" t="s">
        <v>177</v>
      </c>
      <c r="I6" s="6" t="s">
        <v>177</v>
      </c>
      <c r="J6" s="6" t="s">
        <v>177</v>
      </c>
      <c r="K6" s="6" t="s">
        <v>177</v>
      </c>
      <c r="L6" s="6" t="s">
        <v>177</v>
      </c>
      <c r="M6" s="6" t="s">
        <v>177</v>
      </c>
      <c r="N6" s="6" t="s">
        <v>177</v>
      </c>
      <c r="O6" s="6" t="s">
        <v>177</v>
      </c>
      <c r="P6" s="6" t="s">
        <v>177</v>
      </c>
      <c r="Q6" s="6" t="s">
        <v>177</v>
      </c>
      <c r="R6" s="6" t="s">
        <v>177</v>
      </c>
      <c r="S6" s="6" t="s">
        <v>166</v>
      </c>
      <c r="T6" s="6" t="s">
        <v>166</v>
      </c>
      <c r="U6" s="17">
        <v>2</v>
      </c>
      <c r="V6" s="17">
        <v>2</v>
      </c>
      <c r="W6" s="17">
        <v>2</v>
      </c>
      <c r="X6" s="17">
        <v>0</v>
      </c>
      <c r="Y6" s="17">
        <v>2</v>
      </c>
      <c r="Z6" s="17">
        <v>2</v>
      </c>
      <c r="AA6" s="17">
        <v>2</v>
      </c>
      <c r="AB6" s="17">
        <v>0</v>
      </c>
      <c r="AC6" s="17">
        <v>0</v>
      </c>
      <c r="AD6" s="17">
        <v>1</v>
      </c>
      <c r="AE6" s="17">
        <v>2</v>
      </c>
      <c r="AF6" s="17">
        <v>2</v>
      </c>
      <c r="AG6" s="17">
        <v>2</v>
      </c>
      <c r="AH6" s="17">
        <v>0</v>
      </c>
      <c r="AI6" s="17">
        <v>2</v>
      </c>
      <c r="AJ6" s="17">
        <v>0</v>
      </c>
      <c r="AK6" s="17">
        <v>3</v>
      </c>
      <c r="AL6" s="17">
        <v>0</v>
      </c>
      <c r="AM6" s="6">
        <v>2</v>
      </c>
      <c r="AN6" s="6">
        <v>0</v>
      </c>
      <c r="AO6" s="6">
        <v>2</v>
      </c>
      <c r="AP6" s="6">
        <v>2</v>
      </c>
      <c r="AQ6" s="6">
        <v>2</v>
      </c>
      <c r="AR6" s="6">
        <v>0</v>
      </c>
      <c r="AS6" s="6">
        <v>1</v>
      </c>
      <c r="AT6" s="6">
        <v>0</v>
      </c>
      <c r="AU6" s="6">
        <v>2</v>
      </c>
      <c r="AV6" s="6">
        <v>0</v>
      </c>
      <c r="AW6" s="6">
        <v>2</v>
      </c>
      <c r="AX6" s="6">
        <v>0</v>
      </c>
      <c r="AY6" s="6">
        <v>3</v>
      </c>
      <c r="AZ6" s="6">
        <v>0</v>
      </c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</row>
    <row r="7" spans="1:295" s="24" customFormat="1" x14ac:dyDescent="0.2">
      <c r="A7" s="6" t="s">
        <v>25</v>
      </c>
      <c r="B7" s="6">
        <v>155</v>
      </c>
      <c r="C7" s="6">
        <v>52</v>
      </c>
      <c r="D7" s="6">
        <v>95</v>
      </c>
      <c r="E7" s="6">
        <v>11</v>
      </c>
      <c r="F7" s="6">
        <v>0</v>
      </c>
      <c r="G7" s="6">
        <v>7</v>
      </c>
      <c r="H7" s="6">
        <v>0</v>
      </c>
      <c r="I7" s="6">
        <v>12</v>
      </c>
      <c r="J7" s="6">
        <v>32</v>
      </c>
      <c r="K7" s="6">
        <v>0</v>
      </c>
      <c r="L7" s="6">
        <v>50</v>
      </c>
      <c r="M7" s="6">
        <v>95</v>
      </c>
      <c r="N7" s="6">
        <v>112</v>
      </c>
      <c r="O7" s="6">
        <f>SUM(Table1[[#This Row],[Column2]:[Column3]])</f>
        <v>207</v>
      </c>
      <c r="P7" s="6">
        <f>SUM(Table1[[#This Row],[Column4]:[Column11]])</f>
        <v>207</v>
      </c>
      <c r="Q7" s="6">
        <f>SUM(M7:N7)</f>
        <v>207</v>
      </c>
      <c r="R7" s="6">
        <v>7</v>
      </c>
      <c r="S7" s="6">
        <v>205</v>
      </c>
      <c r="T7" s="6">
        <v>7</v>
      </c>
      <c r="U7" s="17">
        <f>SUM(B7:C7)</f>
        <v>207</v>
      </c>
      <c r="V7" s="17">
        <f t="shared" ref="V7:V15" si="0">SUM(D7:L7)</f>
        <v>207</v>
      </c>
      <c r="W7" s="17">
        <v>208</v>
      </c>
      <c r="X7" s="17">
        <v>10</v>
      </c>
      <c r="Y7" s="17">
        <v>229</v>
      </c>
      <c r="Z7" s="17">
        <v>229</v>
      </c>
      <c r="AA7" s="17">
        <v>229</v>
      </c>
      <c r="AB7" s="17">
        <v>12</v>
      </c>
      <c r="AC7" s="17">
        <v>11</v>
      </c>
      <c r="AD7" s="17">
        <v>238</v>
      </c>
      <c r="AE7" s="17">
        <v>33</v>
      </c>
      <c r="AF7" s="17">
        <v>33</v>
      </c>
      <c r="AG7" s="17">
        <v>235</v>
      </c>
      <c r="AH7" s="17">
        <v>11</v>
      </c>
      <c r="AI7" s="17">
        <v>247</v>
      </c>
      <c r="AJ7" s="17">
        <v>0</v>
      </c>
      <c r="AK7" s="17">
        <v>264</v>
      </c>
      <c r="AL7" s="17">
        <v>10</v>
      </c>
      <c r="AM7" s="6">
        <v>208</v>
      </c>
      <c r="AN7" s="6">
        <v>10</v>
      </c>
      <c r="AO7" s="6">
        <v>229</v>
      </c>
      <c r="AP7" s="6">
        <v>229</v>
      </c>
      <c r="AQ7" s="6">
        <v>229</v>
      </c>
      <c r="AR7" s="6">
        <v>12</v>
      </c>
      <c r="AS7" s="6">
        <v>238</v>
      </c>
      <c r="AT7" s="6">
        <v>11</v>
      </c>
      <c r="AU7" s="6">
        <v>33</v>
      </c>
      <c r="AV7" s="6">
        <v>11</v>
      </c>
      <c r="AW7" s="6">
        <v>247</v>
      </c>
      <c r="AX7" s="6">
        <v>0</v>
      </c>
      <c r="AY7" s="6">
        <v>264</v>
      </c>
      <c r="AZ7" s="6">
        <v>10</v>
      </c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</row>
    <row r="8" spans="1:295" s="24" customFormat="1" x14ac:dyDescent="0.2">
      <c r="A8" s="6" t="s">
        <v>161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f>SUM(Table1[[#This Row],[Column2]:[Column3]])</f>
        <v>0</v>
      </c>
      <c r="P8" s="6">
        <f>SUM(Table1[[#This Row],[Column4]:[Column11]])</f>
        <v>0</v>
      </c>
      <c r="Q8" s="6">
        <f t="shared" ref="Q8:Q35" si="1">SUM(M8:N8)</f>
        <v>0</v>
      </c>
      <c r="R8" s="6">
        <v>0</v>
      </c>
      <c r="S8" s="6">
        <v>0</v>
      </c>
      <c r="T8" s="6">
        <v>0</v>
      </c>
      <c r="U8" s="17">
        <f>SUM(B8:C8)</f>
        <v>0</v>
      </c>
      <c r="V8" s="17">
        <f t="shared" si="0"/>
        <v>0</v>
      </c>
      <c r="W8" s="17">
        <f t="shared" ref="W8:W15" si="2">SUM(M8:N8)</f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235</v>
      </c>
      <c r="AF8" s="17">
        <v>235</v>
      </c>
      <c r="AG8" s="17">
        <v>2</v>
      </c>
      <c r="AH8" s="17">
        <v>0</v>
      </c>
      <c r="AI8" s="17">
        <v>2</v>
      </c>
      <c r="AJ8" s="17">
        <v>0</v>
      </c>
      <c r="AK8" s="17">
        <v>0</v>
      </c>
      <c r="AL8" s="17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235</v>
      </c>
      <c r="AV8" s="6">
        <v>0</v>
      </c>
      <c r="AW8" s="6">
        <v>2</v>
      </c>
      <c r="AX8" s="6">
        <v>0</v>
      </c>
      <c r="AY8" s="6">
        <v>0</v>
      </c>
      <c r="AZ8" s="6">
        <v>0</v>
      </c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</row>
    <row r="9" spans="1:295" s="24" customFormat="1" ht="12.75" customHeight="1" x14ac:dyDescent="0.2">
      <c r="A9" s="6" t="s">
        <v>162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f>SUM(Table1[[#This Row],[Column2]:[Column3]])</f>
        <v>0</v>
      </c>
      <c r="P9" s="6">
        <f>SUM(Table1[[#This Row],[Column4]:[Column11]])</f>
        <v>0</v>
      </c>
      <c r="Q9" s="6">
        <f t="shared" si="1"/>
        <v>0</v>
      </c>
      <c r="R9" s="6">
        <v>0</v>
      </c>
      <c r="S9" s="6">
        <v>1</v>
      </c>
      <c r="T9" s="6">
        <v>0</v>
      </c>
      <c r="U9" s="17">
        <f>SUM(B9:C9)</f>
        <v>0</v>
      </c>
      <c r="V9" s="17">
        <f t="shared" si="0"/>
        <v>0</v>
      </c>
      <c r="W9" s="17">
        <f t="shared" si="2"/>
        <v>0</v>
      </c>
      <c r="X9" s="17">
        <v>0</v>
      </c>
      <c r="Y9" s="17">
        <v>2</v>
      </c>
      <c r="Z9" s="17">
        <v>2</v>
      </c>
      <c r="AA9" s="17">
        <v>2</v>
      </c>
      <c r="AB9" s="17">
        <v>0</v>
      </c>
      <c r="AC9" s="17">
        <v>0</v>
      </c>
      <c r="AD9" s="17">
        <v>1</v>
      </c>
      <c r="AE9" s="17">
        <v>2</v>
      </c>
      <c r="AF9" s="17">
        <v>2</v>
      </c>
      <c r="AG9" s="17">
        <v>0</v>
      </c>
      <c r="AH9" s="17">
        <v>2</v>
      </c>
      <c r="AI9" s="17">
        <v>0</v>
      </c>
      <c r="AJ9" s="17">
        <v>0</v>
      </c>
      <c r="AK9" s="17">
        <v>0</v>
      </c>
      <c r="AL9" s="17">
        <v>0</v>
      </c>
      <c r="AM9" s="6">
        <v>1</v>
      </c>
      <c r="AN9" s="6">
        <v>0</v>
      </c>
      <c r="AO9" s="6">
        <v>2</v>
      </c>
      <c r="AP9" s="6">
        <v>2</v>
      </c>
      <c r="AQ9" s="6">
        <v>2</v>
      </c>
      <c r="AR9" s="6">
        <v>0</v>
      </c>
      <c r="AS9" s="6">
        <v>1</v>
      </c>
      <c r="AT9" s="6">
        <v>0</v>
      </c>
      <c r="AU9" s="6">
        <v>2</v>
      </c>
      <c r="AV9" s="6">
        <v>2</v>
      </c>
      <c r="AW9" s="6">
        <v>0</v>
      </c>
      <c r="AX9" s="6">
        <v>0</v>
      </c>
      <c r="AY9" s="6">
        <v>0</v>
      </c>
      <c r="AZ9" s="6">
        <v>0</v>
      </c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</row>
    <row r="10" spans="1:295" s="45" customFormat="1" x14ac:dyDescent="0.2">
      <c r="A10" s="6" t="s">
        <v>163</v>
      </c>
      <c r="B10" s="6">
        <v>3</v>
      </c>
      <c r="C10" s="6">
        <v>2</v>
      </c>
      <c r="D10" s="6">
        <v>0.5</v>
      </c>
      <c r="E10" s="6">
        <v>0</v>
      </c>
      <c r="F10" s="6">
        <v>1</v>
      </c>
      <c r="G10" s="6">
        <v>2.5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2</v>
      </c>
      <c r="N10" s="6">
        <v>3</v>
      </c>
      <c r="O10" s="6">
        <f>SUM(Table1[[#This Row],[Column2]:[Column3]])</f>
        <v>5</v>
      </c>
      <c r="P10" s="6">
        <f>SUM(Table1[[#This Row],[Column4]:[Column11]])</f>
        <v>5</v>
      </c>
      <c r="Q10" s="6">
        <f>SUM(M10:N10)</f>
        <v>5</v>
      </c>
      <c r="R10" s="6">
        <v>0</v>
      </c>
      <c r="S10" s="6">
        <v>5</v>
      </c>
      <c r="T10" s="6">
        <v>0</v>
      </c>
      <c r="U10" s="6">
        <f>SUM(B10:C10)</f>
        <v>5</v>
      </c>
      <c r="V10" s="6">
        <f t="shared" si="0"/>
        <v>5</v>
      </c>
      <c r="W10" s="6">
        <f t="shared" si="2"/>
        <v>5</v>
      </c>
      <c r="X10" s="6">
        <v>0</v>
      </c>
      <c r="Y10" s="6">
        <v>5</v>
      </c>
      <c r="Z10" s="6">
        <v>5</v>
      </c>
      <c r="AA10" s="6">
        <v>5</v>
      </c>
      <c r="AB10" s="6">
        <v>0</v>
      </c>
      <c r="AC10" s="6">
        <v>0</v>
      </c>
      <c r="AD10" s="6">
        <v>5</v>
      </c>
      <c r="AE10" s="6">
        <v>0</v>
      </c>
      <c r="AF10" s="6">
        <v>0</v>
      </c>
      <c r="AG10" s="6">
        <v>6</v>
      </c>
      <c r="AH10" s="6">
        <v>0</v>
      </c>
      <c r="AI10" s="6">
        <v>6</v>
      </c>
      <c r="AJ10" s="6">
        <v>0</v>
      </c>
      <c r="AK10" s="6">
        <v>6</v>
      </c>
      <c r="AL10" s="6">
        <v>0</v>
      </c>
      <c r="AM10" s="6">
        <v>4</v>
      </c>
      <c r="AN10" s="6">
        <v>0</v>
      </c>
      <c r="AO10" s="6">
        <v>5</v>
      </c>
      <c r="AP10" s="6">
        <v>5</v>
      </c>
      <c r="AQ10" s="6">
        <v>5</v>
      </c>
      <c r="AR10" s="6">
        <v>0</v>
      </c>
      <c r="AS10" s="6">
        <v>5</v>
      </c>
      <c r="AT10" s="6">
        <v>0</v>
      </c>
      <c r="AU10" s="6">
        <v>0</v>
      </c>
      <c r="AV10" s="6">
        <v>0</v>
      </c>
      <c r="AW10" s="6">
        <v>6</v>
      </c>
      <c r="AX10" s="6">
        <v>0</v>
      </c>
      <c r="AY10" s="6">
        <v>6</v>
      </c>
      <c r="AZ10" s="6">
        <v>0</v>
      </c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</row>
    <row r="11" spans="1:295" s="45" customFormat="1" x14ac:dyDescent="0.2">
      <c r="A11" s="6" t="s">
        <v>126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f>SUM(Table1[[#This Row],[Column2]:[Column3]])</f>
        <v>0</v>
      </c>
      <c r="P11" s="6">
        <f>SUM(Table1[[#This Row],[Column4]:[Column11]])</f>
        <v>0</v>
      </c>
      <c r="Q11" s="6">
        <f t="shared" si="1"/>
        <v>0</v>
      </c>
      <c r="R11" s="6">
        <v>0</v>
      </c>
      <c r="S11" s="6">
        <v>0</v>
      </c>
      <c r="T11" s="6">
        <v>0</v>
      </c>
      <c r="U11" s="6">
        <v>0</v>
      </c>
      <c r="V11" s="6">
        <f t="shared" si="0"/>
        <v>0</v>
      </c>
      <c r="W11" s="6">
        <f t="shared" si="2"/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6</v>
      </c>
      <c r="AF11" s="6">
        <v>6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6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</row>
    <row r="12" spans="1:295" s="14" customFormat="1" x14ac:dyDescent="0.2">
      <c r="A12" s="6" t="s">
        <v>81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f>SUM(Table1[[#This Row],[Column2]:[Column3]])</f>
        <v>0</v>
      </c>
      <c r="P12" s="6">
        <f>SUM(Table1[[#This Row],[Column4]:[Column11]])</f>
        <v>0</v>
      </c>
      <c r="Q12" s="6">
        <f t="shared" si="1"/>
        <v>0</v>
      </c>
      <c r="R12" s="6">
        <v>0</v>
      </c>
      <c r="S12" s="6">
        <v>20</v>
      </c>
      <c r="T12" s="6">
        <v>0</v>
      </c>
      <c r="U12" s="6">
        <f>SUM(B12:C12)</f>
        <v>0</v>
      </c>
      <c r="V12" s="6">
        <f t="shared" si="0"/>
        <v>0</v>
      </c>
      <c r="W12" s="6">
        <f t="shared" si="2"/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</row>
    <row r="13" spans="1:295" s="48" customFormat="1" x14ac:dyDescent="0.2">
      <c r="A13" s="6" t="s">
        <v>27</v>
      </c>
      <c r="B13" s="6">
        <v>11</v>
      </c>
      <c r="C13" s="6">
        <v>1</v>
      </c>
      <c r="D13" s="6">
        <v>10</v>
      </c>
      <c r="E13" s="6">
        <v>0</v>
      </c>
      <c r="F13" s="6">
        <v>0</v>
      </c>
      <c r="G13" s="6">
        <v>1</v>
      </c>
      <c r="H13" s="6">
        <v>0</v>
      </c>
      <c r="I13" s="6">
        <v>1</v>
      </c>
      <c r="J13" s="6">
        <v>0</v>
      </c>
      <c r="K13" s="6">
        <v>0</v>
      </c>
      <c r="L13" s="6">
        <v>0</v>
      </c>
      <c r="M13" s="6">
        <v>3</v>
      </c>
      <c r="N13" s="6">
        <v>9</v>
      </c>
      <c r="O13" s="6">
        <f>SUM(Table1[[#This Row],[Column2]:[Column3]])</f>
        <v>12</v>
      </c>
      <c r="P13" s="6">
        <f>SUM(Table1[[#This Row],[Column4]:[Column11]])</f>
        <v>12</v>
      </c>
      <c r="Q13" s="6">
        <f t="shared" si="1"/>
        <v>12</v>
      </c>
      <c r="R13" s="6">
        <v>0</v>
      </c>
      <c r="S13" s="6">
        <v>12</v>
      </c>
      <c r="T13" s="6">
        <v>0</v>
      </c>
      <c r="U13" s="6">
        <f>SUM(B13:C13)</f>
        <v>12</v>
      </c>
      <c r="V13" s="6">
        <f t="shared" si="0"/>
        <v>12</v>
      </c>
      <c r="W13" s="6">
        <f t="shared" si="2"/>
        <v>12</v>
      </c>
      <c r="X13" s="6">
        <v>0</v>
      </c>
      <c r="Y13" s="6">
        <v>11</v>
      </c>
      <c r="Z13" s="6">
        <v>11</v>
      </c>
      <c r="AA13" s="6">
        <v>11</v>
      </c>
      <c r="AB13" s="6">
        <v>0</v>
      </c>
      <c r="AC13" s="6">
        <v>0</v>
      </c>
      <c r="AD13" s="6">
        <v>11</v>
      </c>
      <c r="AE13" s="6">
        <v>0</v>
      </c>
      <c r="AF13" s="6">
        <v>0</v>
      </c>
      <c r="AG13" s="6">
        <v>12</v>
      </c>
      <c r="AH13" s="6">
        <v>0</v>
      </c>
      <c r="AI13" s="6">
        <v>13</v>
      </c>
      <c r="AJ13" s="6">
        <v>0</v>
      </c>
      <c r="AK13" s="6">
        <v>13</v>
      </c>
      <c r="AL13" s="6">
        <v>0</v>
      </c>
      <c r="AM13" s="6">
        <v>12</v>
      </c>
      <c r="AN13" s="6">
        <v>0</v>
      </c>
      <c r="AO13" s="6">
        <v>11</v>
      </c>
      <c r="AP13" s="6">
        <v>11</v>
      </c>
      <c r="AQ13" s="6">
        <v>11</v>
      </c>
      <c r="AR13" s="6">
        <v>0</v>
      </c>
      <c r="AS13" s="6">
        <v>11</v>
      </c>
      <c r="AT13" s="6">
        <v>0</v>
      </c>
      <c r="AU13" s="6">
        <v>0</v>
      </c>
      <c r="AV13" s="6">
        <v>0</v>
      </c>
      <c r="AW13" s="6">
        <v>13</v>
      </c>
      <c r="AX13" s="6">
        <v>0</v>
      </c>
      <c r="AY13" s="6">
        <v>13</v>
      </c>
      <c r="AZ13" s="6">
        <v>0</v>
      </c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</row>
    <row r="14" spans="1:295" s="29" customFormat="1" x14ac:dyDescent="0.2">
      <c r="A14" s="6" t="s">
        <v>71</v>
      </c>
      <c r="B14" s="6">
        <v>41</v>
      </c>
      <c r="C14" s="6">
        <v>0</v>
      </c>
      <c r="D14" s="6">
        <v>14</v>
      </c>
      <c r="E14" s="6">
        <v>3</v>
      </c>
      <c r="F14" s="6">
        <v>0</v>
      </c>
      <c r="G14" s="6">
        <v>2</v>
      </c>
      <c r="H14" s="6">
        <v>2</v>
      </c>
      <c r="I14" s="6">
        <v>9</v>
      </c>
      <c r="J14" s="6">
        <v>3</v>
      </c>
      <c r="K14" s="6">
        <v>1</v>
      </c>
      <c r="L14" s="6">
        <v>7</v>
      </c>
      <c r="M14" s="6">
        <v>17</v>
      </c>
      <c r="N14" s="6">
        <v>24</v>
      </c>
      <c r="O14" s="6">
        <f>SUM(Table1[[#This Row],[Column2]:[Column3]])</f>
        <v>41</v>
      </c>
      <c r="P14" s="6">
        <f>SUM(Table1[[#This Row],[Column4]:[Column11]])</f>
        <v>41</v>
      </c>
      <c r="Q14" s="6">
        <f t="shared" si="1"/>
        <v>41</v>
      </c>
      <c r="R14" s="6">
        <v>0</v>
      </c>
      <c r="S14" s="6">
        <v>44</v>
      </c>
      <c r="T14" s="6">
        <v>0</v>
      </c>
      <c r="U14" s="17">
        <f>SUM(B14:C14)</f>
        <v>41</v>
      </c>
      <c r="V14" s="17">
        <f t="shared" si="0"/>
        <v>41</v>
      </c>
      <c r="W14" s="17">
        <f t="shared" si="2"/>
        <v>41</v>
      </c>
      <c r="X14" s="17">
        <v>0</v>
      </c>
      <c r="Y14" s="17">
        <v>46</v>
      </c>
      <c r="Z14" s="17">
        <v>46</v>
      </c>
      <c r="AA14" s="17">
        <v>46</v>
      </c>
      <c r="AB14" s="17">
        <v>0</v>
      </c>
      <c r="AC14" s="17">
        <v>0</v>
      </c>
      <c r="AD14" s="17">
        <v>41</v>
      </c>
      <c r="AE14" s="17">
        <v>12</v>
      </c>
      <c r="AF14" s="17">
        <v>12</v>
      </c>
      <c r="AG14" s="17">
        <v>33</v>
      </c>
      <c r="AH14" s="17">
        <v>1</v>
      </c>
      <c r="AI14" s="17">
        <v>39</v>
      </c>
      <c r="AJ14" s="17">
        <v>1</v>
      </c>
      <c r="AK14" s="17">
        <v>41</v>
      </c>
      <c r="AL14" s="17">
        <v>0</v>
      </c>
      <c r="AM14" s="6">
        <v>43</v>
      </c>
      <c r="AN14" s="6">
        <v>0</v>
      </c>
      <c r="AO14" s="6">
        <v>46</v>
      </c>
      <c r="AP14" s="6">
        <v>46</v>
      </c>
      <c r="AQ14" s="6">
        <v>46</v>
      </c>
      <c r="AR14" s="6">
        <v>0</v>
      </c>
      <c r="AS14" s="6">
        <v>41</v>
      </c>
      <c r="AT14" s="6">
        <v>0</v>
      </c>
      <c r="AU14" s="6">
        <v>12</v>
      </c>
      <c r="AV14" s="6">
        <v>1</v>
      </c>
      <c r="AW14" s="6">
        <v>39</v>
      </c>
      <c r="AX14" s="6">
        <v>1</v>
      </c>
      <c r="AY14" s="6">
        <v>41</v>
      </c>
      <c r="AZ14" s="6">
        <v>0</v>
      </c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</row>
    <row r="15" spans="1:295" s="48" customFormat="1" x14ac:dyDescent="0.2">
      <c r="A15" s="6" t="s">
        <v>117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f>SUM(Table1[[#This Row],[Column2]:[Column3]])</f>
        <v>0</v>
      </c>
      <c r="P15" s="6">
        <f>SUM(Table1[[#This Row],[Column4]:[Column11]])</f>
        <v>0</v>
      </c>
      <c r="Q15" s="6">
        <f t="shared" si="1"/>
        <v>0</v>
      </c>
      <c r="R15" s="6">
        <v>0</v>
      </c>
      <c r="S15" s="6">
        <v>0</v>
      </c>
      <c r="T15" s="6">
        <v>0</v>
      </c>
      <c r="U15" s="6">
        <f>SUM(B15:C15)</f>
        <v>0</v>
      </c>
      <c r="V15" s="6">
        <f t="shared" si="0"/>
        <v>0</v>
      </c>
      <c r="W15" s="6">
        <f t="shared" si="2"/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</row>
    <row r="16" spans="1:295" s="14" customFormat="1" x14ac:dyDescent="0.2">
      <c r="A16" s="6" t="s">
        <v>76</v>
      </c>
      <c r="B16" s="6">
        <v>4</v>
      </c>
      <c r="C16" s="6">
        <v>3</v>
      </c>
      <c r="D16" s="6">
        <v>1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6">
        <v>0</v>
      </c>
      <c r="K16" s="6">
        <v>5</v>
      </c>
      <c r="L16" s="6">
        <v>0</v>
      </c>
      <c r="M16" s="6">
        <v>2</v>
      </c>
      <c r="N16" s="6">
        <v>5</v>
      </c>
      <c r="O16" s="6">
        <v>7</v>
      </c>
      <c r="P16" s="6">
        <v>7</v>
      </c>
      <c r="Q16" s="6">
        <v>7</v>
      </c>
      <c r="R16" s="6">
        <v>0</v>
      </c>
      <c r="S16" s="6">
        <v>5</v>
      </c>
      <c r="T16" s="6">
        <v>0</v>
      </c>
      <c r="U16" s="6" t="s">
        <v>127</v>
      </c>
      <c r="V16" s="6">
        <v>8</v>
      </c>
      <c r="W16" s="6">
        <v>8</v>
      </c>
      <c r="X16" s="6">
        <v>0</v>
      </c>
      <c r="Y16" s="6">
        <v>12</v>
      </c>
      <c r="Z16" s="6">
        <v>12</v>
      </c>
      <c r="AA16" s="6">
        <v>12</v>
      </c>
      <c r="AB16" s="6">
        <v>12</v>
      </c>
      <c r="AC16" s="6">
        <v>0</v>
      </c>
      <c r="AD16" s="6">
        <v>12</v>
      </c>
      <c r="AE16" s="6">
        <v>7</v>
      </c>
      <c r="AF16" s="6">
        <v>7</v>
      </c>
      <c r="AG16" s="6">
        <v>7</v>
      </c>
      <c r="AH16" s="6">
        <v>0</v>
      </c>
      <c r="AI16" s="6">
        <v>9</v>
      </c>
      <c r="AJ16" s="6">
        <v>0</v>
      </c>
      <c r="AK16" s="6">
        <v>9</v>
      </c>
      <c r="AL16" s="6">
        <v>2</v>
      </c>
      <c r="AM16" s="6">
        <v>8</v>
      </c>
      <c r="AN16" s="6">
        <v>0</v>
      </c>
      <c r="AO16" s="6">
        <v>12</v>
      </c>
      <c r="AP16" s="6">
        <v>12</v>
      </c>
      <c r="AQ16" s="6">
        <v>12</v>
      </c>
      <c r="AR16" s="6">
        <v>12</v>
      </c>
      <c r="AS16" s="6">
        <v>12</v>
      </c>
      <c r="AT16" s="6">
        <v>0</v>
      </c>
      <c r="AU16" s="6">
        <v>7</v>
      </c>
      <c r="AV16" s="6">
        <v>0</v>
      </c>
      <c r="AW16" s="6">
        <v>9</v>
      </c>
      <c r="AX16" s="6">
        <v>0</v>
      </c>
      <c r="AY16" s="6">
        <v>9</v>
      </c>
      <c r="AZ16" s="6">
        <v>2</v>
      </c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</row>
    <row r="17" spans="1:295" s="48" customFormat="1" x14ac:dyDescent="0.2">
      <c r="A17" s="6" t="s">
        <v>79</v>
      </c>
      <c r="B17" s="6">
        <v>4</v>
      </c>
      <c r="C17" s="6">
        <v>1</v>
      </c>
      <c r="D17" s="6">
        <v>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3</v>
      </c>
      <c r="N17" s="6">
        <v>2</v>
      </c>
      <c r="O17" s="6">
        <v>5</v>
      </c>
      <c r="P17" s="6">
        <v>5</v>
      </c>
      <c r="Q17" s="6">
        <v>5</v>
      </c>
      <c r="R17" s="6">
        <v>0</v>
      </c>
      <c r="S17" s="6">
        <v>7</v>
      </c>
      <c r="T17" s="6">
        <v>0</v>
      </c>
      <c r="U17" s="6">
        <f t="shared" ref="U17:U34" si="3">SUM(B17:C17)</f>
        <v>5</v>
      </c>
      <c r="V17" s="6">
        <f t="shared" ref="V17:V29" si="4">SUM(D17:L17)</f>
        <v>5</v>
      </c>
      <c r="W17" s="6">
        <f t="shared" ref="W17:W34" si="5">SUM(M17:N17)</f>
        <v>5</v>
      </c>
      <c r="X17" s="6">
        <v>0</v>
      </c>
      <c r="Y17" s="6">
        <v>7</v>
      </c>
      <c r="Z17" s="6">
        <v>7</v>
      </c>
      <c r="AA17" s="6">
        <v>7</v>
      </c>
      <c r="AB17" s="6">
        <v>2</v>
      </c>
      <c r="AC17" s="6">
        <v>0</v>
      </c>
      <c r="AD17" s="6">
        <v>5</v>
      </c>
      <c r="AE17" s="6">
        <v>7</v>
      </c>
      <c r="AF17" s="6">
        <v>7</v>
      </c>
      <c r="AG17" s="6">
        <v>7</v>
      </c>
      <c r="AH17" s="6">
        <v>2</v>
      </c>
      <c r="AI17" s="6">
        <v>9</v>
      </c>
      <c r="AJ17" s="6">
        <v>2</v>
      </c>
      <c r="AK17" s="6">
        <v>5</v>
      </c>
      <c r="AL17" s="6">
        <v>0</v>
      </c>
      <c r="AM17" s="6">
        <v>7</v>
      </c>
      <c r="AN17" s="6">
        <v>0</v>
      </c>
      <c r="AO17" s="6">
        <v>7</v>
      </c>
      <c r="AP17" s="6">
        <v>7</v>
      </c>
      <c r="AQ17" s="6">
        <v>7</v>
      </c>
      <c r="AR17" s="6">
        <v>2</v>
      </c>
      <c r="AS17" s="6">
        <v>5</v>
      </c>
      <c r="AT17" s="6">
        <v>0</v>
      </c>
      <c r="AU17" s="6">
        <v>7</v>
      </c>
      <c r="AV17" s="6">
        <v>2</v>
      </c>
      <c r="AW17" s="6">
        <v>9</v>
      </c>
      <c r="AX17" s="6">
        <v>2</v>
      </c>
      <c r="AY17" s="6">
        <v>5</v>
      </c>
      <c r="AZ17" s="6">
        <v>0</v>
      </c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</row>
    <row r="18" spans="1:295" s="22" customFormat="1" x14ac:dyDescent="0.2">
      <c r="A18" s="22" t="s">
        <v>72</v>
      </c>
      <c r="B18" s="6">
        <v>19</v>
      </c>
      <c r="C18" s="6">
        <v>0</v>
      </c>
      <c r="D18" s="6">
        <v>6</v>
      </c>
      <c r="E18" s="6">
        <v>2</v>
      </c>
      <c r="F18" s="6">
        <v>0</v>
      </c>
      <c r="G18" s="6">
        <v>1</v>
      </c>
      <c r="H18" s="6">
        <v>0</v>
      </c>
      <c r="I18" s="6">
        <v>3</v>
      </c>
      <c r="J18" s="6">
        <v>0</v>
      </c>
      <c r="K18" s="6">
        <v>1</v>
      </c>
      <c r="L18" s="6">
        <v>6</v>
      </c>
      <c r="M18" s="6">
        <v>7</v>
      </c>
      <c r="N18" s="6">
        <v>12</v>
      </c>
      <c r="O18" s="6">
        <f>SUM(Table1[[#This Row],[Column2]:[Column3]])</f>
        <v>19</v>
      </c>
      <c r="P18" s="6">
        <f>SUM(Table1[[#This Row],[Column4]:[Column11]])</f>
        <v>19</v>
      </c>
      <c r="Q18" s="6">
        <f t="shared" si="1"/>
        <v>19</v>
      </c>
      <c r="R18" s="6">
        <v>0</v>
      </c>
      <c r="S18" s="6">
        <v>25</v>
      </c>
      <c r="T18" s="6">
        <v>0</v>
      </c>
      <c r="U18" s="22">
        <f t="shared" si="3"/>
        <v>19</v>
      </c>
      <c r="V18" s="22">
        <f t="shared" si="4"/>
        <v>19</v>
      </c>
      <c r="W18" s="22">
        <f t="shared" si="5"/>
        <v>19</v>
      </c>
      <c r="X18" s="22">
        <v>0</v>
      </c>
      <c r="Y18" s="22">
        <v>28</v>
      </c>
      <c r="Z18" s="22">
        <v>28</v>
      </c>
      <c r="AA18" s="22">
        <v>28</v>
      </c>
      <c r="AB18" s="22">
        <v>0</v>
      </c>
      <c r="AC18" s="22">
        <v>0</v>
      </c>
      <c r="AD18" s="22">
        <v>24</v>
      </c>
      <c r="AE18" s="22">
        <v>22</v>
      </c>
      <c r="AF18" s="22">
        <v>22</v>
      </c>
      <c r="AG18" s="22">
        <v>22</v>
      </c>
      <c r="AH18" s="22">
        <v>0</v>
      </c>
      <c r="AI18" s="22">
        <v>24</v>
      </c>
      <c r="AJ18" s="22">
        <v>2</v>
      </c>
      <c r="AK18" s="22">
        <v>19</v>
      </c>
      <c r="AL18" s="22">
        <v>1</v>
      </c>
      <c r="AM18" s="6">
        <v>29</v>
      </c>
      <c r="AN18" s="6">
        <v>0</v>
      </c>
      <c r="AO18" s="6">
        <v>28</v>
      </c>
      <c r="AP18" s="6">
        <v>28</v>
      </c>
      <c r="AQ18" s="6">
        <v>28</v>
      </c>
      <c r="AR18" s="6">
        <v>0</v>
      </c>
      <c r="AS18" s="6">
        <v>24</v>
      </c>
      <c r="AT18" s="6">
        <v>0</v>
      </c>
      <c r="AU18" s="6">
        <v>22</v>
      </c>
      <c r="AV18" s="6">
        <v>0</v>
      </c>
      <c r="AW18" s="6">
        <v>24</v>
      </c>
      <c r="AX18" s="6">
        <v>2</v>
      </c>
      <c r="AY18" s="6">
        <v>19</v>
      </c>
      <c r="AZ18" s="6">
        <v>1</v>
      </c>
    </row>
    <row r="19" spans="1:295" s="48" customFormat="1" x14ac:dyDescent="0.2">
      <c r="A19" s="6" t="s">
        <v>77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f>SUM(Table1[[#This Row],[Column2]:[Column3]])</f>
        <v>0</v>
      </c>
      <c r="P19" s="6">
        <f>SUM(Table1[[#This Row],[Column4]:[Column11]])</f>
        <v>0</v>
      </c>
      <c r="Q19" s="6">
        <f t="shared" si="1"/>
        <v>0</v>
      </c>
      <c r="R19" s="6">
        <v>0</v>
      </c>
      <c r="S19" s="6">
        <v>0</v>
      </c>
      <c r="T19" s="6">
        <v>0</v>
      </c>
      <c r="U19" s="6">
        <f t="shared" si="3"/>
        <v>0</v>
      </c>
      <c r="V19" s="6">
        <f t="shared" si="4"/>
        <v>0</v>
      </c>
      <c r="W19" s="6">
        <f t="shared" si="5"/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</row>
    <row r="20" spans="1:295" s="14" customFormat="1" x14ac:dyDescent="0.2">
      <c r="A20" s="6" t="s">
        <v>28</v>
      </c>
      <c r="B20" s="6">
        <v>7</v>
      </c>
      <c r="C20" s="6">
        <v>1</v>
      </c>
      <c r="D20" s="6">
        <v>3</v>
      </c>
      <c r="E20" s="6">
        <v>3</v>
      </c>
      <c r="F20" s="6">
        <v>0</v>
      </c>
      <c r="G20" s="6">
        <v>1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3</v>
      </c>
      <c r="N20" s="6">
        <v>5</v>
      </c>
      <c r="O20" s="6">
        <f>SUM(Table1[[#This Row],[Column2]:[Column3]])</f>
        <v>8</v>
      </c>
      <c r="P20" s="6">
        <f>SUM(Table1[[#This Row],[Column4]:[Column11]])</f>
        <v>8</v>
      </c>
      <c r="Q20" s="6">
        <f t="shared" si="1"/>
        <v>8</v>
      </c>
      <c r="R20" s="6">
        <v>0</v>
      </c>
      <c r="S20" s="6">
        <v>6</v>
      </c>
      <c r="T20" s="6">
        <v>0</v>
      </c>
      <c r="U20" s="6">
        <f t="shared" si="3"/>
        <v>8</v>
      </c>
      <c r="V20" s="6">
        <f t="shared" si="4"/>
        <v>8</v>
      </c>
      <c r="W20" s="6">
        <f t="shared" si="5"/>
        <v>8</v>
      </c>
      <c r="X20" s="6">
        <v>0</v>
      </c>
      <c r="Y20" s="6">
        <v>9</v>
      </c>
      <c r="Z20" s="6">
        <v>9</v>
      </c>
      <c r="AA20" s="6">
        <v>9</v>
      </c>
      <c r="AB20" s="6">
        <v>0</v>
      </c>
      <c r="AC20" s="6">
        <v>0</v>
      </c>
      <c r="AD20" s="6">
        <v>9</v>
      </c>
      <c r="AE20" s="6">
        <v>9</v>
      </c>
      <c r="AF20" s="6">
        <v>9</v>
      </c>
      <c r="AG20" s="6">
        <v>9</v>
      </c>
      <c r="AH20" s="6">
        <v>0</v>
      </c>
      <c r="AI20" s="6">
        <v>10</v>
      </c>
      <c r="AJ20" s="6">
        <v>0</v>
      </c>
      <c r="AK20" s="6">
        <v>14</v>
      </c>
      <c r="AL20" s="6">
        <v>0</v>
      </c>
      <c r="AM20" s="6">
        <v>9</v>
      </c>
      <c r="AN20" s="6">
        <v>0</v>
      </c>
      <c r="AO20" s="6">
        <v>9</v>
      </c>
      <c r="AP20" s="6">
        <v>9</v>
      </c>
      <c r="AQ20" s="6">
        <v>9</v>
      </c>
      <c r="AR20" s="6">
        <v>0</v>
      </c>
      <c r="AS20" s="6">
        <v>9</v>
      </c>
      <c r="AT20" s="6">
        <v>0</v>
      </c>
      <c r="AU20" s="6">
        <v>9</v>
      </c>
      <c r="AV20" s="6">
        <v>0</v>
      </c>
      <c r="AW20" s="6">
        <v>10</v>
      </c>
      <c r="AX20" s="6">
        <v>0</v>
      </c>
      <c r="AY20" s="6">
        <v>14</v>
      </c>
      <c r="AZ20" s="6">
        <v>0</v>
      </c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</row>
    <row r="21" spans="1:295" s="14" customFormat="1" x14ac:dyDescent="0.2">
      <c r="A21" s="6" t="s">
        <v>159</v>
      </c>
      <c r="B21" s="6" t="s">
        <v>166</v>
      </c>
      <c r="C21" s="6" t="s">
        <v>166</v>
      </c>
      <c r="D21" s="6" t="s">
        <v>166</v>
      </c>
      <c r="E21" s="6" t="s">
        <v>166</v>
      </c>
      <c r="F21" s="6" t="s">
        <v>166</v>
      </c>
      <c r="G21" s="6" t="s">
        <v>166</v>
      </c>
      <c r="H21" s="6" t="s">
        <v>166</v>
      </c>
      <c r="I21" s="6" t="s">
        <v>166</v>
      </c>
      <c r="J21" s="6" t="s">
        <v>166</v>
      </c>
      <c r="K21" s="6" t="s">
        <v>166</v>
      </c>
      <c r="L21" s="6" t="s">
        <v>166</v>
      </c>
      <c r="M21" s="6" t="s">
        <v>166</v>
      </c>
      <c r="N21" s="6" t="s">
        <v>166</v>
      </c>
      <c r="O21" s="6">
        <f>SUM(Table1[[#This Row],[Column2]:[Column3]])</f>
        <v>0</v>
      </c>
      <c r="P21" s="6">
        <f>SUM(Table1[[#This Row],[Column4]:[Column11]])</f>
        <v>0</v>
      </c>
      <c r="Q21" s="6">
        <f t="shared" si="1"/>
        <v>0</v>
      </c>
      <c r="R21" s="6" t="s">
        <v>177</v>
      </c>
      <c r="S21" s="6" t="s">
        <v>166</v>
      </c>
      <c r="T21" s="6" t="s">
        <v>166</v>
      </c>
      <c r="U21" s="49">
        <f t="shared" si="3"/>
        <v>0</v>
      </c>
      <c r="V21" s="49">
        <f t="shared" si="4"/>
        <v>0</v>
      </c>
      <c r="W21" s="49">
        <f t="shared" si="5"/>
        <v>0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6">
        <v>2</v>
      </c>
      <c r="AN21" s="6">
        <v>0</v>
      </c>
      <c r="AO21" s="6">
        <v>1</v>
      </c>
      <c r="AP21" s="6">
        <v>1</v>
      </c>
      <c r="AQ21" s="6">
        <v>1</v>
      </c>
      <c r="AR21" s="6">
        <v>0</v>
      </c>
      <c r="AS21" s="6">
        <v>2</v>
      </c>
      <c r="AT21" s="6">
        <v>0</v>
      </c>
      <c r="AU21" s="6">
        <v>1</v>
      </c>
      <c r="AV21" s="6">
        <v>0</v>
      </c>
      <c r="AW21" s="6">
        <v>2</v>
      </c>
      <c r="AX21" s="6">
        <v>0</v>
      </c>
      <c r="AY21" s="6">
        <v>2</v>
      </c>
      <c r="AZ21" s="6">
        <v>0</v>
      </c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</row>
    <row r="22" spans="1:295" s="45" customFormat="1" x14ac:dyDescent="0.2">
      <c r="A22" s="6" t="s">
        <v>61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6">
        <f>SUM(Table1[[#This Row],[Column2]:[Column3]])</f>
        <v>0</v>
      </c>
      <c r="P22" s="6">
        <f>SUM(Table1[[#This Row],[Column4]:[Column11]])</f>
        <v>0</v>
      </c>
      <c r="Q22" s="6">
        <f t="shared" si="1"/>
        <v>0</v>
      </c>
      <c r="R22" s="20">
        <v>3</v>
      </c>
      <c r="S22" s="6">
        <v>0</v>
      </c>
      <c r="T22" s="6">
        <v>3</v>
      </c>
      <c r="U22" s="6">
        <f t="shared" si="3"/>
        <v>0</v>
      </c>
      <c r="V22" s="6">
        <f t="shared" si="4"/>
        <v>0</v>
      </c>
      <c r="W22" s="6">
        <f t="shared" si="5"/>
        <v>0</v>
      </c>
      <c r="X22" s="6">
        <v>4</v>
      </c>
      <c r="Y22" s="6">
        <v>0</v>
      </c>
      <c r="Z22" s="6">
        <v>0</v>
      </c>
      <c r="AA22" s="6">
        <v>0</v>
      </c>
      <c r="AB22" s="6">
        <v>2</v>
      </c>
      <c r="AC22" s="6">
        <v>2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4</v>
      </c>
      <c r="AO22" s="6">
        <v>0</v>
      </c>
      <c r="AP22" s="6">
        <v>0</v>
      </c>
      <c r="AQ22" s="6">
        <v>0</v>
      </c>
      <c r="AR22" s="6">
        <v>2</v>
      </c>
      <c r="AS22" s="6">
        <v>0</v>
      </c>
      <c r="AT22" s="6">
        <v>2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</row>
    <row r="23" spans="1:295" x14ac:dyDescent="0.2">
      <c r="A23" s="6" t="s">
        <v>78</v>
      </c>
      <c r="B23" s="6">
        <v>44</v>
      </c>
      <c r="C23" s="6">
        <v>20</v>
      </c>
      <c r="D23" s="6">
        <v>36</v>
      </c>
      <c r="E23" s="6">
        <v>4</v>
      </c>
      <c r="F23" s="6">
        <v>0</v>
      </c>
      <c r="G23" s="6">
        <v>0</v>
      </c>
      <c r="H23" s="6">
        <v>15</v>
      </c>
      <c r="I23" s="6">
        <v>1</v>
      </c>
      <c r="J23" s="6">
        <v>2</v>
      </c>
      <c r="K23" s="6">
        <v>2</v>
      </c>
      <c r="L23" s="6">
        <v>4</v>
      </c>
      <c r="M23" s="6">
        <v>27</v>
      </c>
      <c r="N23" s="6">
        <v>37</v>
      </c>
      <c r="O23" s="6">
        <v>64</v>
      </c>
      <c r="P23" s="6">
        <v>64</v>
      </c>
      <c r="Q23" s="6">
        <v>64</v>
      </c>
      <c r="R23" s="6">
        <v>1</v>
      </c>
      <c r="S23" s="6">
        <v>63</v>
      </c>
      <c r="T23" s="6">
        <v>4</v>
      </c>
      <c r="U23" s="17">
        <f t="shared" si="3"/>
        <v>64</v>
      </c>
      <c r="V23" s="17">
        <f t="shared" si="4"/>
        <v>64</v>
      </c>
      <c r="W23" s="17">
        <f t="shared" si="5"/>
        <v>64</v>
      </c>
      <c r="X23" s="17">
        <v>3</v>
      </c>
      <c r="Y23" s="17">
        <v>68</v>
      </c>
      <c r="Z23" s="17">
        <v>68</v>
      </c>
      <c r="AA23" s="17">
        <v>68</v>
      </c>
      <c r="AB23" s="17">
        <v>4</v>
      </c>
      <c r="AC23" s="17">
        <v>0</v>
      </c>
      <c r="AD23" s="17">
        <v>72</v>
      </c>
      <c r="AE23" s="17">
        <v>72</v>
      </c>
      <c r="AF23" s="17">
        <v>72</v>
      </c>
      <c r="AG23" s="17">
        <v>72</v>
      </c>
      <c r="AH23" s="17">
        <v>0</v>
      </c>
      <c r="AI23" s="17">
        <v>76</v>
      </c>
      <c r="AJ23" s="17">
        <v>0</v>
      </c>
      <c r="AK23" s="17">
        <v>74</v>
      </c>
      <c r="AL23" s="17">
        <v>0</v>
      </c>
      <c r="AM23" s="6">
        <v>63</v>
      </c>
      <c r="AN23" s="6">
        <v>3</v>
      </c>
      <c r="AO23" s="6">
        <v>68</v>
      </c>
      <c r="AP23" s="6">
        <v>68</v>
      </c>
      <c r="AQ23" s="6">
        <v>68</v>
      </c>
      <c r="AR23" s="6">
        <v>4</v>
      </c>
      <c r="AS23" s="6">
        <v>72</v>
      </c>
      <c r="AT23" s="6">
        <v>0</v>
      </c>
      <c r="AU23" s="6">
        <v>72</v>
      </c>
      <c r="AV23" s="6">
        <v>0</v>
      </c>
      <c r="AW23" s="6">
        <v>76</v>
      </c>
      <c r="AX23" s="6">
        <v>0</v>
      </c>
      <c r="AY23" s="6">
        <v>74</v>
      </c>
      <c r="AZ23" s="6">
        <v>0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</row>
    <row r="24" spans="1:295" s="45" customFormat="1" x14ac:dyDescent="0.2">
      <c r="A24" s="6" t="s">
        <v>176</v>
      </c>
      <c r="B24" s="6" t="s">
        <v>166</v>
      </c>
      <c r="C24" s="6" t="s">
        <v>166</v>
      </c>
      <c r="D24" s="6" t="s">
        <v>166</v>
      </c>
      <c r="E24" s="6" t="s">
        <v>166</v>
      </c>
      <c r="F24" s="6" t="s">
        <v>166</v>
      </c>
      <c r="G24" s="6" t="s">
        <v>166</v>
      </c>
      <c r="H24" s="6" t="s">
        <v>166</v>
      </c>
      <c r="I24" s="6" t="s">
        <v>166</v>
      </c>
      <c r="J24" s="6" t="s">
        <v>166</v>
      </c>
      <c r="K24" s="6" t="s">
        <v>166</v>
      </c>
      <c r="L24" s="6" t="s">
        <v>166</v>
      </c>
      <c r="M24" s="6" t="s">
        <v>166</v>
      </c>
      <c r="N24" s="6" t="s">
        <v>166</v>
      </c>
      <c r="O24" s="6" t="s">
        <v>166</v>
      </c>
      <c r="P24" s="6" t="s">
        <v>166</v>
      </c>
      <c r="Q24" s="6" t="s">
        <v>166</v>
      </c>
      <c r="R24" s="6" t="s">
        <v>166</v>
      </c>
      <c r="S24" s="6">
        <v>0</v>
      </c>
      <c r="T24" s="6">
        <v>0</v>
      </c>
      <c r="U24" s="6">
        <f t="shared" si="3"/>
        <v>0</v>
      </c>
      <c r="V24" s="6">
        <f t="shared" si="4"/>
        <v>0</v>
      </c>
      <c r="W24" s="6">
        <f t="shared" si="5"/>
        <v>0</v>
      </c>
      <c r="X24" s="6">
        <v>0</v>
      </c>
      <c r="Y24" s="6">
        <v>1</v>
      </c>
      <c r="Z24" s="6">
        <v>1</v>
      </c>
      <c r="AA24" s="6">
        <v>1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1</v>
      </c>
      <c r="AL24" s="6">
        <v>0</v>
      </c>
      <c r="AM24" s="6">
        <v>0</v>
      </c>
      <c r="AN24" s="6">
        <v>0</v>
      </c>
      <c r="AO24" s="6">
        <v>1</v>
      </c>
      <c r="AP24" s="6">
        <v>1</v>
      </c>
      <c r="AQ24" s="6">
        <v>1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1</v>
      </c>
      <c r="AZ24" s="6">
        <v>0</v>
      </c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</row>
    <row r="25" spans="1:295" s="45" customFormat="1" x14ac:dyDescent="0.2">
      <c r="A25" s="6" t="s">
        <v>30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f>SUM(Table1[[#This Row],[Column2]:[Column3]])</f>
        <v>0</v>
      </c>
      <c r="P25" s="6">
        <f>SUM(Table1[[#This Row],[Column4]:[Column11]])</f>
        <v>0</v>
      </c>
      <c r="Q25" s="6">
        <f t="shared" si="1"/>
        <v>0</v>
      </c>
      <c r="R25" s="38"/>
      <c r="S25" s="6">
        <v>0</v>
      </c>
      <c r="T25" s="6">
        <v>0</v>
      </c>
      <c r="U25" s="6">
        <f t="shared" si="3"/>
        <v>0</v>
      </c>
      <c r="V25" s="6">
        <f t="shared" si="4"/>
        <v>0</v>
      </c>
      <c r="W25" s="6">
        <f t="shared" si="5"/>
        <v>0</v>
      </c>
      <c r="X25" s="6"/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/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</row>
    <row r="26" spans="1:295" s="14" customFormat="1" x14ac:dyDescent="0.2">
      <c r="A26" s="6" t="s">
        <v>123</v>
      </c>
      <c r="B26" s="6">
        <v>24</v>
      </c>
      <c r="C26" s="6">
        <v>1</v>
      </c>
      <c r="D26" s="6">
        <v>17</v>
      </c>
      <c r="E26" s="6">
        <v>2</v>
      </c>
      <c r="F26" s="6">
        <v>0</v>
      </c>
      <c r="G26" s="6">
        <v>5</v>
      </c>
      <c r="H26" s="6">
        <v>0</v>
      </c>
      <c r="I26" s="6">
        <v>1</v>
      </c>
      <c r="J26" s="6">
        <v>0</v>
      </c>
      <c r="K26" s="6">
        <v>0</v>
      </c>
      <c r="L26" s="6">
        <v>0</v>
      </c>
      <c r="M26" s="6">
        <v>11</v>
      </c>
      <c r="N26" s="6">
        <v>14</v>
      </c>
      <c r="O26" s="6">
        <f>SUM(Table1[[#This Row],[Column2]:[Column3]])</f>
        <v>25</v>
      </c>
      <c r="P26" s="6">
        <f>SUM(Table1[[#This Row],[Column4]:[Column11]])</f>
        <v>25</v>
      </c>
      <c r="Q26" s="6">
        <f t="shared" si="1"/>
        <v>25</v>
      </c>
      <c r="R26" s="6">
        <v>0</v>
      </c>
      <c r="S26" s="6">
        <v>22</v>
      </c>
      <c r="T26" s="6">
        <v>0</v>
      </c>
      <c r="U26" s="6">
        <f t="shared" si="3"/>
        <v>25</v>
      </c>
      <c r="V26" s="6">
        <f t="shared" si="4"/>
        <v>25</v>
      </c>
      <c r="W26" s="6">
        <f t="shared" si="5"/>
        <v>25</v>
      </c>
      <c r="X26" s="6">
        <v>0</v>
      </c>
      <c r="Y26" s="6">
        <v>24</v>
      </c>
      <c r="Z26" s="6">
        <v>24</v>
      </c>
      <c r="AA26" s="6">
        <v>24</v>
      </c>
      <c r="AB26" s="6">
        <v>0</v>
      </c>
      <c r="AC26" s="6">
        <v>0</v>
      </c>
      <c r="AD26" s="6">
        <v>25</v>
      </c>
      <c r="AE26" s="6">
        <v>26</v>
      </c>
      <c r="AF26" s="6">
        <v>26</v>
      </c>
      <c r="AG26" s="6">
        <v>26</v>
      </c>
      <c r="AH26" s="6">
        <v>0</v>
      </c>
      <c r="AI26" s="6">
        <v>32</v>
      </c>
      <c r="AJ26" s="6">
        <v>0</v>
      </c>
      <c r="AK26" s="6">
        <v>30</v>
      </c>
      <c r="AL26" s="6">
        <v>0</v>
      </c>
      <c r="AM26" s="6">
        <v>21</v>
      </c>
      <c r="AN26" s="6">
        <v>0</v>
      </c>
      <c r="AO26" s="6">
        <v>24</v>
      </c>
      <c r="AP26" s="6">
        <v>24</v>
      </c>
      <c r="AQ26" s="6">
        <v>24</v>
      </c>
      <c r="AR26" s="6">
        <v>0</v>
      </c>
      <c r="AS26" s="6">
        <v>25</v>
      </c>
      <c r="AT26" s="6">
        <v>0</v>
      </c>
      <c r="AU26" s="6">
        <v>26</v>
      </c>
      <c r="AV26" s="6">
        <v>0</v>
      </c>
      <c r="AW26" s="6">
        <v>32</v>
      </c>
      <c r="AX26" s="6">
        <v>0</v>
      </c>
      <c r="AY26" s="6">
        <v>30</v>
      </c>
      <c r="AZ26" s="6">
        <v>0</v>
      </c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</row>
    <row r="27" spans="1:295" s="24" customFormat="1" x14ac:dyDescent="0.2">
      <c r="A27" s="22" t="s">
        <v>32</v>
      </c>
      <c r="B27" s="6">
        <v>3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3</v>
      </c>
      <c r="K27" s="6">
        <v>0</v>
      </c>
      <c r="L27" s="6">
        <v>0</v>
      </c>
      <c r="M27" s="6">
        <v>2</v>
      </c>
      <c r="N27" s="6">
        <v>1</v>
      </c>
      <c r="O27" s="6">
        <f>SUM(Table1[[#This Row],[Column2]:[Column3]])</f>
        <v>3</v>
      </c>
      <c r="P27" s="6">
        <f>SUM(Table1[[#This Row],[Column4]:[Column11]])</f>
        <v>3</v>
      </c>
      <c r="Q27" s="6">
        <f t="shared" si="1"/>
        <v>3</v>
      </c>
      <c r="R27" s="6">
        <v>0</v>
      </c>
      <c r="S27" s="6">
        <v>4</v>
      </c>
      <c r="T27" s="6">
        <v>0</v>
      </c>
      <c r="U27" s="17">
        <f t="shared" si="3"/>
        <v>3</v>
      </c>
      <c r="V27" s="17">
        <f t="shared" si="4"/>
        <v>3</v>
      </c>
      <c r="W27" s="17">
        <f t="shared" si="5"/>
        <v>3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</row>
    <row r="28" spans="1:295" s="24" customFormat="1" x14ac:dyDescent="0.2">
      <c r="A28" s="22" t="s">
        <v>33</v>
      </c>
      <c r="B28" s="6">
        <v>67</v>
      </c>
      <c r="C28" s="6">
        <v>23</v>
      </c>
      <c r="D28" s="6">
        <v>28</v>
      </c>
      <c r="E28" s="6">
        <v>19</v>
      </c>
      <c r="F28" s="6">
        <v>0</v>
      </c>
      <c r="G28" s="6">
        <v>15</v>
      </c>
      <c r="H28" s="6">
        <v>6</v>
      </c>
      <c r="I28" s="6">
        <v>11</v>
      </c>
      <c r="J28" s="6">
        <v>8</v>
      </c>
      <c r="K28" s="6">
        <v>2</v>
      </c>
      <c r="L28" s="6">
        <v>1</v>
      </c>
      <c r="M28" s="6">
        <v>30</v>
      </c>
      <c r="N28" s="6">
        <v>60</v>
      </c>
      <c r="O28" s="6">
        <f>SUM(Table1[[#This Row],[Column2]:[Column3]])</f>
        <v>90</v>
      </c>
      <c r="P28" s="6">
        <f>SUM(Table1[[#This Row],[Column4]:[Column11]])</f>
        <v>90</v>
      </c>
      <c r="Q28" s="6">
        <f t="shared" si="1"/>
        <v>90</v>
      </c>
      <c r="R28" s="6">
        <v>0</v>
      </c>
      <c r="S28" s="6">
        <v>100</v>
      </c>
      <c r="T28" s="6">
        <v>0</v>
      </c>
      <c r="U28" s="17">
        <f t="shared" si="3"/>
        <v>90</v>
      </c>
      <c r="V28" s="17">
        <f t="shared" si="4"/>
        <v>90</v>
      </c>
      <c r="W28" s="17">
        <f t="shared" si="5"/>
        <v>90</v>
      </c>
      <c r="X28" s="17">
        <v>0</v>
      </c>
      <c r="Y28" s="17">
        <v>145</v>
      </c>
      <c r="Z28" s="17">
        <v>145</v>
      </c>
      <c r="AA28" s="17">
        <v>145</v>
      </c>
      <c r="AB28" s="17">
        <v>0</v>
      </c>
      <c r="AC28" s="17">
        <v>0</v>
      </c>
      <c r="AD28" s="17">
        <v>154</v>
      </c>
      <c r="AE28" s="17">
        <v>184</v>
      </c>
      <c r="AF28" s="17">
        <v>184</v>
      </c>
      <c r="AG28" s="17">
        <v>184</v>
      </c>
      <c r="AH28" s="17">
        <v>0</v>
      </c>
      <c r="AI28" s="17">
        <v>192</v>
      </c>
      <c r="AJ28" s="17">
        <v>0</v>
      </c>
      <c r="AK28" s="17">
        <v>189</v>
      </c>
      <c r="AL28" s="17">
        <v>0</v>
      </c>
      <c r="AM28" s="6">
        <v>123</v>
      </c>
      <c r="AN28" s="6">
        <v>0</v>
      </c>
      <c r="AO28" s="6">
        <v>145</v>
      </c>
      <c r="AP28" s="6">
        <v>145</v>
      </c>
      <c r="AQ28" s="6">
        <v>145</v>
      </c>
      <c r="AR28" s="6">
        <v>0</v>
      </c>
      <c r="AS28" s="6">
        <v>154</v>
      </c>
      <c r="AT28" s="6">
        <v>0</v>
      </c>
      <c r="AU28" s="6">
        <v>184</v>
      </c>
      <c r="AV28" s="6">
        <v>0</v>
      </c>
      <c r="AW28" s="6">
        <v>192</v>
      </c>
      <c r="AX28" s="6">
        <v>0</v>
      </c>
      <c r="AY28" s="6">
        <v>189</v>
      </c>
      <c r="AZ28" s="6">
        <v>0</v>
      </c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</row>
    <row r="29" spans="1:295" s="24" customFormat="1" x14ac:dyDescent="0.2">
      <c r="A29" s="22" t="s">
        <v>34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f>SUM(Table1[[#This Row],[Column2]:[Column3]])</f>
        <v>0</v>
      </c>
      <c r="P29" s="6">
        <f>SUM(Table1[[#This Row],[Column4]:[Column11]])</f>
        <v>0</v>
      </c>
      <c r="Q29" s="6">
        <f t="shared" si="1"/>
        <v>0</v>
      </c>
      <c r="R29" s="38"/>
      <c r="S29" s="6">
        <v>0</v>
      </c>
      <c r="T29" s="6">
        <v>0</v>
      </c>
      <c r="U29" s="22">
        <f t="shared" si="3"/>
        <v>0</v>
      </c>
      <c r="V29" s="22">
        <f t="shared" si="4"/>
        <v>0</v>
      </c>
      <c r="W29" s="22">
        <f t="shared" si="5"/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</row>
    <row r="30" spans="1:295" s="24" customFormat="1" x14ac:dyDescent="0.2">
      <c r="A30" s="22" t="s">
        <v>35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f>SUM(Table1[[#This Row],[Column2]:[Column3]])</f>
        <v>0</v>
      </c>
      <c r="P30" s="6">
        <f>SUM(Table1[[#This Row],[Column4]:[Column11]])</f>
        <v>0</v>
      </c>
      <c r="Q30" s="6">
        <f t="shared" si="1"/>
        <v>0</v>
      </c>
      <c r="R30" s="6">
        <v>0</v>
      </c>
      <c r="S30" s="6">
        <v>0</v>
      </c>
      <c r="T30" s="6">
        <v>0</v>
      </c>
      <c r="U30" s="22">
        <f t="shared" si="3"/>
        <v>0</v>
      </c>
      <c r="V30" s="22">
        <v>2</v>
      </c>
      <c r="W30" s="22">
        <f t="shared" si="5"/>
        <v>0</v>
      </c>
      <c r="X30" s="22">
        <v>0</v>
      </c>
      <c r="Y30" s="22">
        <v>2</v>
      </c>
      <c r="Z30" s="22">
        <v>2</v>
      </c>
      <c r="AA30" s="22">
        <v>2</v>
      </c>
      <c r="AB30" s="22">
        <v>0</v>
      </c>
      <c r="AC30" s="22">
        <v>0</v>
      </c>
      <c r="AD30" s="22">
        <v>2</v>
      </c>
      <c r="AE30" s="22">
        <v>2</v>
      </c>
      <c r="AF30" s="22">
        <v>2</v>
      </c>
      <c r="AG30" s="22">
        <v>2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6">
        <v>2</v>
      </c>
      <c r="AN30" s="6">
        <v>0</v>
      </c>
      <c r="AO30" s="6">
        <v>2</v>
      </c>
      <c r="AP30" s="6">
        <v>2</v>
      </c>
      <c r="AQ30" s="6">
        <v>2</v>
      </c>
      <c r="AR30" s="6">
        <v>0</v>
      </c>
      <c r="AS30" s="6">
        <v>2</v>
      </c>
      <c r="AT30" s="6">
        <v>0</v>
      </c>
      <c r="AU30" s="6">
        <v>2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</row>
    <row r="31" spans="1:295" s="45" customFormat="1" x14ac:dyDescent="0.2">
      <c r="A31" s="6" t="s">
        <v>60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f>SUM(Table1[[#This Row],[Column2]:[Column3]])</f>
        <v>0</v>
      </c>
      <c r="P31" s="6">
        <f>SUM(Table1[[#This Row],[Column4]:[Column11]])</f>
        <v>0</v>
      </c>
      <c r="Q31" s="6">
        <f t="shared" si="1"/>
        <v>0</v>
      </c>
      <c r="R31" s="6">
        <v>0</v>
      </c>
      <c r="S31" s="6">
        <v>0</v>
      </c>
      <c r="T31" s="6">
        <v>0</v>
      </c>
      <c r="U31" s="6">
        <f t="shared" si="3"/>
        <v>0</v>
      </c>
      <c r="V31" s="6">
        <f>SUM(D31:L31)</f>
        <v>0</v>
      </c>
      <c r="W31" s="6">
        <f t="shared" si="5"/>
        <v>0</v>
      </c>
      <c r="X31" s="6"/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4</v>
      </c>
      <c r="AM31" s="6">
        <v>0</v>
      </c>
      <c r="AN31" s="6"/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4</v>
      </c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</row>
    <row r="32" spans="1:295" s="24" customFormat="1" x14ac:dyDescent="0.2">
      <c r="A32" s="20" t="s">
        <v>143</v>
      </c>
      <c r="B32" s="6">
        <v>21</v>
      </c>
      <c r="C32" s="6">
        <v>1</v>
      </c>
      <c r="D32" s="6">
        <v>6</v>
      </c>
      <c r="E32" s="6">
        <v>4</v>
      </c>
      <c r="F32" s="6">
        <v>0</v>
      </c>
      <c r="G32" s="6">
        <v>3</v>
      </c>
      <c r="H32" s="6">
        <v>8</v>
      </c>
      <c r="I32" s="6">
        <v>1</v>
      </c>
      <c r="J32" s="6">
        <v>0</v>
      </c>
      <c r="K32" s="6">
        <v>0</v>
      </c>
      <c r="L32" s="6">
        <v>0</v>
      </c>
      <c r="M32" s="6">
        <v>6</v>
      </c>
      <c r="N32" s="6">
        <v>15</v>
      </c>
      <c r="O32" s="6">
        <f>SUM(Table1[[#This Row],[Column2]:[Column3]])</f>
        <v>22</v>
      </c>
      <c r="P32" s="6">
        <f>SUM(Table1[[#This Row],[Column4]:[Column11]])</f>
        <v>22</v>
      </c>
      <c r="Q32" s="6">
        <v>22</v>
      </c>
      <c r="R32" s="6">
        <v>1</v>
      </c>
      <c r="S32" s="6">
        <v>29</v>
      </c>
      <c r="T32" s="6">
        <v>3</v>
      </c>
      <c r="U32" s="17">
        <f t="shared" si="3"/>
        <v>22</v>
      </c>
      <c r="V32" s="17">
        <f>SUM(D32:L32)</f>
        <v>22</v>
      </c>
      <c r="W32" s="17">
        <f t="shared" si="5"/>
        <v>21</v>
      </c>
      <c r="X32" s="17">
        <v>0</v>
      </c>
      <c r="Y32" s="17">
        <v>33</v>
      </c>
      <c r="Z32" s="17">
        <v>33</v>
      </c>
      <c r="AA32" s="17">
        <v>33</v>
      </c>
      <c r="AB32" s="17">
        <v>0</v>
      </c>
      <c r="AC32" s="17">
        <v>0</v>
      </c>
      <c r="AD32" s="17">
        <v>34</v>
      </c>
      <c r="AE32" s="17">
        <v>34</v>
      </c>
      <c r="AF32" s="17">
        <v>34</v>
      </c>
      <c r="AG32" s="17">
        <v>34</v>
      </c>
      <c r="AH32" s="17">
        <v>0</v>
      </c>
      <c r="AI32" s="17">
        <v>30</v>
      </c>
      <c r="AJ32" s="17">
        <v>0</v>
      </c>
      <c r="AK32" s="17">
        <v>29</v>
      </c>
      <c r="AL32" s="17">
        <v>0</v>
      </c>
      <c r="AM32" s="6">
        <v>33</v>
      </c>
      <c r="AN32" s="6">
        <v>0</v>
      </c>
      <c r="AO32" s="6">
        <v>33</v>
      </c>
      <c r="AP32" s="6">
        <v>33</v>
      </c>
      <c r="AQ32" s="6">
        <v>33</v>
      </c>
      <c r="AR32" s="6">
        <v>0</v>
      </c>
      <c r="AS32" s="6">
        <v>34</v>
      </c>
      <c r="AT32" s="6">
        <v>0</v>
      </c>
      <c r="AU32" s="6">
        <v>34</v>
      </c>
      <c r="AV32" s="6">
        <v>0</v>
      </c>
      <c r="AW32" s="6">
        <v>30</v>
      </c>
      <c r="AX32" s="6">
        <v>0</v>
      </c>
      <c r="AY32" s="6">
        <v>29</v>
      </c>
      <c r="AZ32" s="6">
        <v>0</v>
      </c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</row>
    <row r="33" spans="1:295" s="14" customFormat="1" x14ac:dyDescent="0.2">
      <c r="A33" s="6" t="s">
        <v>119</v>
      </c>
      <c r="B33" s="6">
        <v>11</v>
      </c>
      <c r="C33" s="6">
        <v>0</v>
      </c>
      <c r="D33" s="6">
        <v>5</v>
      </c>
      <c r="E33" s="6">
        <v>1</v>
      </c>
      <c r="F33" s="6">
        <v>0</v>
      </c>
      <c r="G33" s="6">
        <v>2</v>
      </c>
      <c r="H33" s="6">
        <v>0</v>
      </c>
      <c r="I33" s="6">
        <v>1</v>
      </c>
      <c r="J33" s="6">
        <v>1</v>
      </c>
      <c r="K33" s="6">
        <v>0</v>
      </c>
      <c r="L33" s="6">
        <v>1</v>
      </c>
      <c r="M33" s="6">
        <v>4</v>
      </c>
      <c r="N33" s="6">
        <v>7</v>
      </c>
      <c r="O33" s="6">
        <f>SUM(Table1[[#This Row],[Column2]:[Column3]])</f>
        <v>11</v>
      </c>
      <c r="P33" s="6">
        <f>SUM(Table1[[#This Row],[Column4]:[Column11]])</f>
        <v>11</v>
      </c>
      <c r="Q33" s="6">
        <f t="shared" si="1"/>
        <v>11</v>
      </c>
      <c r="R33" s="6">
        <v>0</v>
      </c>
      <c r="S33" s="6">
        <v>15</v>
      </c>
      <c r="T33" s="6">
        <v>0</v>
      </c>
      <c r="U33" s="6">
        <f t="shared" si="3"/>
        <v>11</v>
      </c>
      <c r="V33" s="6">
        <f>SUM(D33:L33)</f>
        <v>11</v>
      </c>
      <c r="W33" s="6">
        <f t="shared" si="5"/>
        <v>11</v>
      </c>
      <c r="X33" s="6">
        <v>1</v>
      </c>
      <c r="Y33" s="6">
        <v>13</v>
      </c>
      <c r="Z33" s="6">
        <v>13</v>
      </c>
      <c r="AA33" s="6">
        <v>13</v>
      </c>
      <c r="AB33" s="6">
        <v>0</v>
      </c>
      <c r="AC33" s="6"/>
      <c r="AD33" s="6">
        <v>10</v>
      </c>
      <c r="AE33" s="6">
        <v>7</v>
      </c>
      <c r="AF33" s="6">
        <v>7</v>
      </c>
      <c r="AG33" s="6">
        <v>7</v>
      </c>
      <c r="AH33" s="6">
        <v>0</v>
      </c>
      <c r="AI33" s="6">
        <v>7</v>
      </c>
      <c r="AJ33" s="6">
        <v>0</v>
      </c>
      <c r="AK33" s="6">
        <v>8</v>
      </c>
      <c r="AL33" s="6">
        <v>0</v>
      </c>
      <c r="AM33" s="6">
        <v>12</v>
      </c>
      <c r="AN33" s="6">
        <v>1</v>
      </c>
      <c r="AO33" s="6">
        <v>13</v>
      </c>
      <c r="AP33" s="6">
        <v>13</v>
      </c>
      <c r="AQ33" s="6">
        <v>13</v>
      </c>
      <c r="AR33" s="6">
        <v>0</v>
      </c>
      <c r="AS33" s="6">
        <v>10</v>
      </c>
      <c r="AT33" s="6"/>
      <c r="AU33" s="6">
        <v>7</v>
      </c>
      <c r="AV33" s="6">
        <v>0</v>
      </c>
      <c r="AW33" s="6">
        <v>7</v>
      </c>
      <c r="AX33" s="6">
        <v>0</v>
      </c>
      <c r="AY33" s="6">
        <v>8</v>
      </c>
      <c r="AZ33" s="6">
        <v>0</v>
      </c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</row>
    <row r="34" spans="1:295" s="24" customFormat="1" x14ac:dyDescent="0.2">
      <c r="A34" s="6" t="s">
        <v>36</v>
      </c>
      <c r="B34" s="6">
        <v>6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6</v>
      </c>
      <c r="I34" s="6">
        <v>0</v>
      </c>
      <c r="J34" s="6">
        <v>0</v>
      </c>
      <c r="K34" s="6">
        <v>0</v>
      </c>
      <c r="L34" s="6">
        <v>0</v>
      </c>
      <c r="M34" s="6">
        <v>2</v>
      </c>
      <c r="N34" s="6">
        <v>4</v>
      </c>
      <c r="O34" s="6">
        <v>6</v>
      </c>
      <c r="P34" s="6">
        <v>6</v>
      </c>
      <c r="Q34" s="6">
        <v>6</v>
      </c>
      <c r="R34" s="6">
        <v>28</v>
      </c>
      <c r="S34" s="6">
        <v>7</v>
      </c>
      <c r="T34" s="6">
        <v>27</v>
      </c>
      <c r="U34" s="17">
        <f t="shared" si="3"/>
        <v>6</v>
      </c>
      <c r="V34" s="17">
        <f>SUM(D34:L34)</f>
        <v>6</v>
      </c>
      <c r="W34" s="17">
        <f t="shared" si="5"/>
        <v>6</v>
      </c>
      <c r="X34" s="17">
        <v>25</v>
      </c>
      <c r="Y34" s="17">
        <v>10</v>
      </c>
      <c r="Z34" s="17">
        <v>10</v>
      </c>
      <c r="AA34" s="17">
        <v>10</v>
      </c>
      <c r="AB34" s="17">
        <v>31</v>
      </c>
      <c r="AC34" s="17">
        <v>30</v>
      </c>
      <c r="AD34" s="17">
        <v>14</v>
      </c>
      <c r="AE34" s="17">
        <v>17</v>
      </c>
      <c r="AF34" s="17">
        <v>17</v>
      </c>
      <c r="AG34" s="17">
        <v>17</v>
      </c>
      <c r="AH34" s="17">
        <v>32</v>
      </c>
      <c r="AI34" s="17">
        <v>21</v>
      </c>
      <c r="AJ34" s="17">
        <v>41</v>
      </c>
      <c r="AK34" s="17">
        <v>16</v>
      </c>
      <c r="AL34" s="17">
        <v>36</v>
      </c>
      <c r="AM34" s="6">
        <v>6</v>
      </c>
      <c r="AN34" s="6">
        <v>25</v>
      </c>
      <c r="AO34" s="6">
        <v>10</v>
      </c>
      <c r="AP34" s="6">
        <v>10</v>
      </c>
      <c r="AQ34" s="6">
        <v>10</v>
      </c>
      <c r="AR34" s="6">
        <v>31</v>
      </c>
      <c r="AS34" s="6">
        <v>14</v>
      </c>
      <c r="AT34" s="6">
        <v>30</v>
      </c>
      <c r="AU34" s="6">
        <v>17</v>
      </c>
      <c r="AV34" s="6">
        <v>32</v>
      </c>
      <c r="AW34" s="6">
        <v>21</v>
      </c>
      <c r="AX34" s="6">
        <v>41</v>
      </c>
      <c r="AY34" s="6">
        <v>16</v>
      </c>
      <c r="AZ34" s="6">
        <v>36</v>
      </c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</row>
    <row r="35" spans="1:295" s="50" customFormat="1" x14ac:dyDescent="0.2">
      <c r="A35" s="22" t="s">
        <v>164</v>
      </c>
      <c r="B35" s="6">
        <v>9</v>
      </c>
      <c r="C35" s="6">
        <v>0</v>
      </c>
      <c r="D35" s="6">
        <v>6</v>
      </c>
      <c r="E35" s="6">
        <v>0</v>
      </c>
      <c r="F35" s="6">
        <v>0</v>
      </c>
      <c r="G35" s="6">
        <v>3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5</v>
      </c>
      <c r="N35" s="6">
        <v>4</v>
      </c>
      <c r="O35" s="6">
        <f>SUM(Table1[[#This Row],[Column2]:[Column3]])</f>
        <v>9</v>
      </c>
      <c r="P35" s="6">
        <f>SUM(Table1[[#This Row],[Column4]:[Column11]])</f>
        <v>9</v>
      </c>
      <c r="Q35" s="6">
        <f t="shared" si="1"/>
        <v>9</v>
      </c>
      <c r="R35" s="6">
        <v>0</v>
      </c>
      <c r="S35" s="6">
        <v>10</v>
      </c>
      <c r="T35" s="6">
        <v>0</v>
      </c>
      <c r="U35" s="22">
        <v>7</v>
      </c>
      <c r="V35" s="22">
        <v>7</v>
      </c>
      <c r="W35" s="22">
        <v>7</v>
      </c>
      <c r="X35" s="22">
        <v>0</v>
      </c>
      <c r="Y35" s="22">
        <v>32</v>
      </c>
      <c r="Z35" s="22">
        <v>32</v>
      </c>
      <c r="AA35" s="22">
        <v>32</v>
      </c>
      <c r="AB35" s="22">
        <v>0</v>
      </c>
      <c r="AC35" s="22">
        <v>0</v>
      </c>
      <c r="AD35" s="22">
        <v>29</v>
      </c>
      <c r="AE35" s="22">
        <v>22</v>
      </c>
      <c r="AF35" s="22">
        <v>22</v>
      </c>
      <c r="AG35" s="22">
        <v>22</v>
      </c>
      <c r="AH35" s="22">
        <v>0</v>
      </c>
      <c r="AI35" s="22">
        <v>24</v>
      </c>
      <c r="AJ35" s="22">
        <v>0</v>
      </c>
      <c r="AK35" s="22">
        <v>19</v>
      </c>
      <c r="AL35" s="22">
        <v>0</v>
      </c>
      <c r="AM35" s="22">
        <v>7</v>
      </c>
      <c r="AN35" s="22">
        <v>0</v>
      </c>
      <c r="AO35" s="22">
        <v>32</v>
      </c>
      <c r="AP35" s="22">
        <v>32</v>
      </c>
      <c r="AQ35" s="22">
        <v>32</v>
      </c>
      <c r="AR35" s="22">
        <v>0</v>
      </c>
      <c r="AS35" s="22">
        <v>29</v>
      </c>
      <c r="AT35" s="22">
        <v>0</v>
      </c>
      <c r="AU35" s="22">
        <v>22</v>
      </c>
      <c r="AV35" s="22">
        <v>0</v>
      </c>
      <c r="AW35" s="22">
        <v>24</v>
      </c>
      <c r="AX35" s="22">
        <v>0</v>
      </c>
      <c r="AY35" s="22">
        <v>19</v>
      </c>
      <c r="AZ35" s="22">
        <v>0</v>
      </c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</row>
    <row r="36" spans="1:295" s="58" customFormat="1" x14ac:dyDescent="0.2">
      <c r="A36" s="11" t="s">
        <v>37</v>
      </c>
      <c r="B36" s="11">
        <f>SUBTOTAL(109,Table1[Column2])</f>
        <v>429</v>
      </c>
      <c r="C36" s="11">
        <f>SUBTOTAL(109,Table1[Column3])</f>
        <v>105</v>
      </c>
      <c r="D36" s="11">
        <f>SUM(Table1[Column4])</f>
        <v>232.5</v>
      </c>
      <c r="E36" s="11">
        <f>SUM(Table1[Column5])</f>
        <v>49</v>
      </c>
      <c r="F36" s="11">
        <f>SUBTOTAL(109,Table1[Column6])</f>
        <v>1</v>
      </c>
      <c r="G36" s="11">
        <f>SUBTOTAL(109,Table1[Column7])</f>
        <v>42.5</v>
      </c>
      <c r="H36" s="11">
        <f>SUBTOTAL(109,Table1[Column8])</f>
        <v>37</v>
      </c>
      <c r="I36" s="11">
        <f>SUBTOTAL(109,Table1[Column9])</f>
        <v>41</v>
      </c>
      <c r="J36" s="11">
        <f>SUBTOTAL(109,Table1[Column10])</f>
        <v>49</v>
      </c>
      <c r="K36" s="11">
        <f>SUBTOTAL(109,Table1[Column102])</f>
        <v>13</v>
      </c>
      <c r="L36" s="11">
        <f>SUBTOTAL(109,Table1[Column11])</f>
        <v>69</v>
      </c>
      <c r="M36" s="11">
        <f>SUBTOTAL(109,Table1[Column12])</f>
        <v>219</v>
      </c>
      <c r="N36" s="11">
        <f>SUBTOTAL(109,Table1[Column13])</f>
        <v>314</v>
      </c>
      <c r="O36" s="11">
        <f>SUBTOTAL(109,O6:O35)</f>
        <v>534</v>
      </c>
      <c r="P36" s="11">
        <f t="shared" ref="P36:AM36" si="6">SUBTOTAL(109,P6:P35)</f>
        <v>534</v>
      </c>
      <c r="Q36" s="11">
        <f>SUBTOTAL(109,Table1[Column136])</f>
        <v>534</v>
      </c>
      <c r="R36" s="11">
        <f>SUM(Table1[Column1364])</f>
        <v>40</v>
      </c>
      <c r="S36" s="11">
        <f>SUM(Table1[Column1363])</f>
        <v>580</v>
      </c>
      <c r="T36" s="11">
        <f>SUBTOTAL(109,Table1[Column1362])</f>
        <v>44</v>
      </c>
      <c r="U36" s="57">
        <f t="shared" si="6"/>
        <v>527</v>
      </c>
      <c r="V36" s="56">
        <f t="shared" si="6"/>
        <v>537</v>
      </c>
      <c r="W36" s="56">
        <f t="shared" si="6"/>
        <v>535</v>
      </c>
      <c r="X36" s="56">
        <f t="shared" si="6"/>
        <v>43</v>
      </c>
      <c r="Y36" s="56">
        <f t="shared" si="6"/>
        <v>679</v>
      </c>
      <c r="Z36" s="56">
        <f t="shared" si="6"/>
        <v>679</v>
      </c>
      <c r="AA36" s="56">
        <f t="shared" si="6"/>
        <v>679</v>
      </c>
      <c r="AB36" s="56">
        <f t="shared" si="6"/>
        <v>63</v>
      </c>
      <c r="AC36" s="56">
        <f t="shared" si="6"/>
        <v>43</v>
      </c>
      <c r="AD36" s="56">
        <f t="shared" si="6"/>
        <v>687</v>
      </c>
      <c r="AE36" s="56">
        <f t="shared" si="6"/>
        <v>699</v>
      </c>
      <c r="AF36" s="56">
        <f t="shared" si="6"/>
        <v>699</v>
      </c>
      <c r="AG36" s="56">
        <f t="shared" si="6"/>
        <v>699</v>
      </c>
      <c r="AH36" s="56">
        <f t="shared" si="6"/>
        <v>48</v>
      </c>
      <c r="AI36" s="56">
        <f t="shared" si="6"/>
        <v>743</v>
      </c>
      <c r="AJ36" s="56">
        <f t="shared" si="6"/>
        <v>46</v>
      </c>
      <c r="AK36" s="56">
        <f t="shared" si="6"/>
        <v>740</v>
      </c>
      <c r="AL36" s="56">
        <f t="shared" si="6"/>
        <v>53</v>
      </c>
      <c r="AM36" s="11">
        <f t="shared" si="6"/>
        <v>592</v>
      </c>
      <c r="AN36" s="11">
        <f>SUBTOTAL(109,Table1[Column29])</f>
        <v>43</v>
      </c>
      <c r="AO36" s="11">
        <v>680</v>
      </c>
      <c r="AP36" s="11">
        <f>SUBTOTAL(109,Table1[Column31])</f>
        <v>680</v>
      </c>
      <c r="AQ36" s="11">
        <v>680</v>
      </c>
      <c r="AR36" s="11">
        <f>SUBTOTAL(109,Table1[Column33])</f>
        <v>63</v>
      </c>
      <c r="AS36" s="11">
        <f>SUBTOTAL(109,Table1[Column35])</f>
        <v>689</v>
      </c>
      <c r="AT36" s="11">
        <f>SUBTOTAL(109,Table1[Column34])</f>
        <v>43</v>
      </c>
      <c r="AU36" s="11">
        <f>SUBTOTAL(109,Table1[Column36])</f>
        <v>700</v>
      </c>
      <c r="AV36" s="11">
        <f>SUBTOTAL(109,Table1[Column39])</f>
        <v>48</v>
      </c>
      <c r="AW36" s="11">
        <f>SUBTOTAL(109,Table1[Column40])</f>
        <v>745</v>
      </c>
      <c r="AX36" s="11">
        <f>SUBTOTAL(109,Table1[Column41])</f>
        <v>46</v>
      </c>
      <c r="AY36" s="11">
        <f>SUBTOTAL(109,Table1[Column42])</f>
        <v>742</v>
      </c>
      <c r="AZ36" s="11">
        <f>SUBTOTAL(109,Table1[Column43])</f>
        <v>53</v>
      </c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  <c r="IX36" s="27"/>
      <c r="IY36" s="27"/>
      <c r="IZ36" s="27"/>
      <c r="JA36" s="27"/>
      <c r="JB36" s="27"/>
      <c r="JC36" s="27"/>
      <c r="JD36" s="27"/>
      <c r="JE36" s="27"/>
      <c r="JF36" s="27"/>
      <c r="JG36" s="27"/>
      <c r="JH36" s="27"/>
      <c r="JI36" s="27"/>
      <c r="JJ36" s="27"/>
      <c r="JK36" s="27"/>
      <c r="JL36" s="27"/>
      <c r="JM36" s="27"/>
      <c r="JN36" s="27"/>
      <c r="JO36" s="27"/>
      <c r="JP36" s="27"/>
      <c r="JQ36" s="27"/>
      <c r="JR36" s="27"/>
      <c r="JS36" s="27"/>
      <c r="JT36" s="27"/>
      <c r="JU36" s="27"/>
      <c r="JV36" s="27"/>
      <c r="JW36" s="27"/>
      <c r="JX36" s="27"/>
      <c r="JY36" s="27"/>
      <c r="JZ36" s="27"/>
      <c r="KA36" s="27"/>
      <c r="KB36" s="27"/>
      <c r="KC36" s="27"/>
      <c r="KD36" s="27"/>
      <c r="KE36" s="27"/>
      <c r="KF36" s="27"/>
      <c r="KG36" s="27"/>
      <c r="KH36" s="27"/>
      <c r="KI36" s="27"/>
    </row>
    <row r="37" spans="1:295" x14ac:dyDescent="0.2">
      <c r="A37" s="25" t="s">
        <v>64</v>
      </c>
    </row>
    <row r="38" spans="1:295" x14ac:dyDescent="0.2">
      <c r="A38" s="25" t="s">
        <v>125</v>
      </c>
    </row>
    <row r="39" spans="1:295" x14ac:dyDescent="0.2">
      <c r="A39" s="25" t="s">
        <v>38</v>
      </c>
    </row>
    <row r="40" spans="1:295" ht="12.75" customHeight="1" x14ac:dyDescent="0.2">
      <c r="A40" s="31" t="s">
        <v>128</v>
      </c>
    </row>
    <row r="41" spans="1:295" x14ac:dyDescent="0.2">
      <c r="A41" s="96" t="s">
        <v>65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</row>
    <row r="42" spans="1:295" ht="12.75" customHeight="1" x14ac:dyDescent="0.2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</row>
    <row r="43" spans="1:295" x14ac:dyDescent="0.2">
      <c r="A43" s="96" t="s">
        <v>66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</row>
    <row r="44" spans="1:295" x14ac:dyDescent="0.2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</row>
    <row r="45" spans="1:295" x14ac:dyDescent="0.2">
      <c r="AU45" s="75"/>
    </row>
    <row r="46" spans="1:295" x14ac:dyDescent="0.2">
      <c r="A46" s="6" t="s">
        <v>167</v>
      </c>
    </row>
    <row r="54" spans="51:51" x14ac:dyDescent="0.2">
      <c r="AY54" s="76"/>
    </row>
    <row r="1048575" spans="29:29" x14ac:dyDescent="0.2">
      <c r="AC1048575" s="25">
        <f>SUM(AC1:AC1048574)</f>
        <v>41725</v>
      </c>
    </row>
  </sheetData>
  <sheetProtection algorithmName="SHA-512" hashValue="birP+isn5XxW76a6nM8OxeWny3guXPagUTVk9QhSKvkQmjzqdKNZ//APWJ5ki0VKMvbpa2YFxPEFGzv2wYqgSQ==" saltValue="NmBXlDAbOE7dlBs8NFv1RA==" spinCount="100000" sheet="1" objects="1" scenarios="1"/>
  <mergeCells count="2">
    <mergeCell ref="A41:AJ42"/>
    <mergeCell ref="A43:AJ44"/>
  </mergeCells>
  <printOptions gridLines="1"/>
  <pageMargins left="0.25" right="0.25" top="0.75" bottom="0.75" header="0.3" footer="0.3"/>
  <pageSetup paperSize="9" scale="58" firstPageNumber="0" orientation="landscape" horizontalDpi="300" verticalDpi="300" r:id="rId1"/>
  <headerFooter alignWithMargins="0"/>
  <colBreaks count="1" manualBreakCount="1">
    <brk id="38" max="1048575" man="1"/>
  </col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F52"/>
  <sheetViews>
    <sheetView zoomScale="70" zoomScaleNormal="70" workbookViewId="0">
      <pane xSplit="1" topLeftCell="B1" activePane="topRight" state="frozen"/>
      <selection pane="topRight" activeCell="B5" sqref="B5"/>
    </sheetView>
  </sheetViews>
  <sheetFormatPr defaultRowHeight="12.75" x14ac:dyDescent="0.2"/>
  <cols>
    <col min="1" max="1" width="74.140625" customWidth="1"/>
    <col min="2" max="9" width="10.42578125" customWidth="1"/>
    <col min="10" max="10" width="11.42578125" customWidth="1"/>
    <col min="11" max="11" width="11.42578125" style="16" customWidth="1"/>
    <col min="12" max="14" width="11.42578125" customWidth="1"/>
    <col min="15" max="15" width="11.42578125" style="37" customWidth="1"/>
    <col min="16" max="16" width="15.28515625" style="37" customWidth="1"/>
    <col min="17" max="17" width="13.85546875" style="37" customWidth="1"/>
    <col min="18" max="20" width="11.42578125" style="15" hidden="1" customWidth="1"/>
    <col min="21" max="23" width="11.42578125" hidden="1" customWidth="1"/>
    <col min="24" max="24" width="11.42578125" style="2" hidden="1" customWidth="1"/>
    <col min="25" max="26" width="11.42578125" hidden="1" customWidth="1"/>
    <col min="27" max="27" width="11.7109375" hidden="1" customWidth="1"/>
    <col min="28" max="28" width="14.85546875" hidden="1" customWidth="1"/>
    <col min="29" max="29" width="14.85546875" style="74" customWidth="1"/>
    <col min="30" max="30" width="13" customWidth="1"/>
    <col min="31" max="31" width="13.28515625" customWidth="1"/>
    <col min="32" max="32" width="14.42578125" hidden="1" customWidth="1"/>
    <col min="33" max="33" width="11.42578125" hidden="1" customWidth="1"/>
    <col min="34" max="34" width="13.42578125" customWidth="1"/>
    <col min="35" max="36" width="11.85546875" customWidth="1"/>
    <col min="37" max="37" width="13.85546875" customWidth="1"/>
    <col min="38" max="38" width="13.28515625" customWidth="1"/>
    <col min="39" max="266" width="9.140625" style="53"/>
  </cols>
  <sheetData>
    <row r="1" spans="1:266" s="10" customFormat="1" x14ac:dyDescent="0.2">
      <c r="A1" s="11" t="s">
        <v>0</v>
      </c>
      <c r="B1" s="11"/>
      <c r="C1" s="11"/>
      <c r="D1" s="11"/>
      <c r="E1" s="11" t="s">
        <v>172</v>
      </c>
      <c r="F1" s="11"/>
      <c r="G1" s="11"/>
      <c r="H1" s="11"/>
      <c r="I1" s="11" t="s">
        <v>39</v>
      </c>
      <c r="J1" s="11"/>
      <c r="K1" s="11"/>
      <c r="L1" s="11"/>
      <c r="M1" s="11"/>
      <c r="N1" s="11"/>
      <c r="O1" s="39"/>
      <c r="P1" s="39"/>
      <c r="Q1" s="39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81"/>
    </row>
    <row r="2" spans="1:266" s="3" customFormat="1" x14ac:dyDescent="0.2">
      <c r="A2" s="11" t="s">
        <v>2</v>
      </c>
      <c r="B2" s="11" t="s">
        <v>3</v>
      </c>
      <c r="C2" s="11"/>
      <c r="D2" s="11" t="s">
        <v>4</v>
      </c>
      <c r="E2" s="11"/>
      <c r="F2" s="11"/>
      <c r="G2" s="11"/>
      <c r="H2" s="11"/>
      <c r="I2" s="11"/>
      <c r="J2" s="11"/>
      <c r="K2" s="11"/>
      <c r="L2" s="11"/>
      <c r="M2" s="11" t="s">
        <v>5</v>
      </c>
      <c r="N2" s="11"/>
      <c r="O2" s="12">
        <v>43100</v>
      </c>
      <c r="P2" s="12">
        <v>43100</v>
      </c>
      <c r="Q2" s="12">
        <v>43100</v>
      </c>
      <c r="R2" s="12">
        <v>42369</v>
      </c>
      <c r="S2" s="12">
        <v>42369</v>
      </c>
      <c r="T2" s="12">
        <v>42369</v>
      </c>
      <c r="U2" s="12">
        <v>42004</v>
      </c>
      <c r="V2" s="12">
        <v>42004</v>
      </c>
      <c r="W2" s="12">
        <v>42004</v>
      </c>
      <c r="X2" s="12">
        <v>41639</v>
      </c>
      <c r="Y2" s="12">
        <v>41274</v>
      </c>
      <c r="Z2" s="12">
        <v>40908</v>
      </c>
      <c r="AA2" s="12">
        <v>40543</v>
      </c>
      <c r="AB2" s="12">
        <v>40178</v>
      </c>
      <c r="AC2" s="12">
        <v>42735</v>
      </c>
      <c r="AD2" s="12">
        <v>42369</v>
      </c>
      <c r="AE2" s="12">
        <v>42004</v>
      </c>
      <c r="AF2" s="12">
        <v>42004</v>
      </c>
      <c r="AG2" s="12">
        <v>42004</v>
      </c>
      <c r="AH2" s="12">
        <v>41639</v>
      </c>
      <c r="AI2" s="12">
        <v>41274</v>
      </c>
      <c r="AJ2" s="12">
        <v>40908</v>
      </c>
      <c r="AK2" s="12">
        <v>40543</v>
      </c>
      <c r="AL2" s="12">
        <v>40178</v>
      </c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  <c r="IW2" s="51"/>
      <c r="IX2" s="51"/>
      <c r="IY2" s="51"/>
      <c r="IZ2" s="51"/>
      <c r="JA2" s="51"/>
      <c r="JB2" s="51"/>
      <c r="JC2" s="51"/>
      <c r="JD2" s="51"/>
      <c r="JE2" s="51"/>
      <c r="JF2" s="51"/>
    </row>
    <row r="3" spans="1:266" s="3" customFormat="1" x14ac:dyDescent="0.2">
      <c r="A3" s="11"/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116</v>
      </c>
      <c r="L3" s="11" t="s">
        <v>15</v>
      </c>
      <c r="M3" s="11" t="s">
        <v>16</v>
      </c>
      <c r="N3" s="11" t="s">
        <v>17</v>
      </c>
      <c r="O3" s="11" t="s">
        <v>40</v>
      </c>
      <c r="P3" s="11" t="s">
        <v>41</v>
      </c>
      <c r="Q3" s="11" t="s">
        <v>42</v>
      </c>
      <c r="R3" s="11" t="s">
        <v>40</v>
      </c>
      <c r="S3" s="11" t="s">
        <v>41</v>
      </c>
      <c r="T3" s="11" t="s">
        <v>42</v>
      </c>
      <c r="U3" s="11" t="s">
        <v>40</v>
      </c>
      <c r="V3" s="11" t="s">
        <v>41</v>
      </c>
      <c r="W3" s="11" t="s">
        <v>42</v>
      </c>
      <c r="X3" s="11" t="s">
        <v>22</v>
      </c>
      <c r="Y3" s="11" t="s">
        <v>43</v>
      </c>
      <c r="Z3" s="11" t="s">
        <v>43</v>
      </c>
      <c r="AA3" s="11" t="s">
        <v>43</v>
      </c>
      <c r="AB3" s="11" t="s">
        <v>22</v>
      </c>
      <c r="AC3" s="11" t="s">
        <v>43</v>
      </c>
      <c r="AD3" s="11" t="s">
        <v>43</v>
      </c>
      <c r="AE3" s="11" t="s">
        <v>43</v>
      </c>
      <c r="AF3" s="11" t="s">
        <v>41</v>
      </c>
      <c r="AG3" s="11" t="s">
        <v>42</v>
      </c>
      <c r="AH3" s="11" t="s">
        <v>22</v>
      </c>
      <c r="AI3" s="11" t="s">
        <v>43</v>
      </c>
      <c r="AJ3" s="11" t="s">
        <v>43</v>
      </c>
      <c r="AK3" s="11" t="s">
        <v>43</v>
      </c>
      <c r="AL3" s="11" t="s">
        <v>22</v>
      </c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  <c r="IW3" s="51"/>
      <c r="IX3" s="51"/>
      <c r="IY3" s="51"/>
      <c r="IZ3" s="51"/>
      <c r="JA3" s="51"/>
      <c r="JB3" s="51"/>
      <c r="JC3" s="51"/>
      <c r="JD3" s="51"/>
      <c r="JE3" s="51"/>
      <c r="JF3" s="51"/>
    </row>
    <row r="4" spans="1:266" s="3" customFormat="1" ht="12.75" hidden="1" customHeight="1" x14ac:dyDescent="0.2">
      <c r="A4" s="6" t="s">
        <v>82</v>
      </c>
      <c r="B4" s="38" t="s">
        <v>83</v>
      </c>
      <c r="C4" s="38" t="s">
        <v>84</v>
      </c>
      <c r="D4" s="38" t="s">
        <v>85</v>
      </c>
      <c r="E4" s="38" t="s">
        <v>86</v>
      </c>
      <c r="F4" s="38" t="s">
        <v>87</v>
      </c>
      <c r="G4" s="38" t="s">
        <v>88</v>
      </c>
      <c r="H4" s="38" t="s">
        <v>89</v>
      </c>
      <c r="I4" s="38" t="s">
        <v>90</v>
      </c>
      <c r="J4" s="38" t="s">
        <v>91</v>
      </c>
      <c r="K4" s="38" t="s">
        <v>115</v>
      </c>
      <c r="L4" s="38" t="s">
        <v>92</v>
      </c>
      <c r="M4" s="38" t="s">
        <v>93</v>
      </c>
      <c r="N4" s="38" t="s">
        <v>94</v>
      </c>
      <c r="O4" s="38" t="s">
        <v>136</v>
      </c>
      <c r="P4" s="38" t="s">
        <v>135</v>
      </c>
      <c r="Q4" s="38" t="s">
        <v>110</v>
      </c>
      <c r="R4" s="6" t="s">
        <v>112</v>
      </c>
      <c r="S4" s="6" t="s">
        <v>111</v>
      </c>
      <c r="T4" s="6" t="s">
        <v>109</v>
      </c>
      <c r="U4" s="6" t="s">
        <v>95</v>
      </c>
      <c r="V4" s="6" t="s">
        <v>96</v>
      </c>
      <c r="W4" s="6" t="s">
        <v>97</v>
      </c>
      <c r="X4" s="6" t="s">
        <v>98</v>
      </c>
      <c r="Y4" s="6" t="s">
        <v>99</v>
      </c>
      <c r="Z4" s="6" t="s">
        <v>100</v>
      </c>
      <c r="AA4" s="6" t="s">
        <v>101</v>
      </c>
      <c r="AB4" s="6" t="s">
        <v>102</v>
      </c>
      <c r="AC4" s="52" t="s">
        <v>169</v>
      </c>
      <c r="AD4" s="6" t="s">
        <v>103</v>
      </c>
      <c r="AE4" s="6" t="s">
        <v>104</v>
      </c>
      <c r="AF4" s="6" t="s">
        <v>105</v>
      </c>
      <c r="AG4" s="6" t="s">
        <v>106</v>
      </c>
      <c r="AH4" s="6" t="s">
        <v>107</v>
      </c>
      <c r="AI4" s="6" t="s">
        <v>108</v>
      </c>
      <c r="AJ4" s="6" t="s">
        <v>144</v>
      </c>
      <c r="AK4" s="6" t="s">
        <v>145</v>
      </c>
      <c r="AL4" s="6" t="s">
        <v>146</v>
      </c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</row>
    <row r="5" spans="1:266" s="3" customFormat="1" x14ac:dyDescent="0.2">
      <c r="A5" s="6" t="s">
        <v>165</v>
      </c>
      <c r="B5" s="6" t="s">
        <v>177</v>
      </c>
      <c r="C5" s="6" t="s">
        <v>177</v>
      </c>
      <c r="D5" s="6" t="s">
        <v>177</v>
      </c>
      <c r="E5" s="6" t="s">
        <v>177</v>
      </c>
      <c r="F5" s="6" t="s">
        <v>177</v>
      </c>
      <c r="G5" s="6" t="s">
        <v>177</v>
      </c>
      <c r="H5" s="6" t="s">
        <v>177</v>
      </c>
      <c r="I5" s="6" t="s">
        <v>177</v>
      </c>
      <c r="J5" s="6" t="s">
        <v>177</v>
      </c>
      <c r="K5" s="6" t="s">
        <v>177</v>
      </c>
      <c r="L5" s="6" t="s">
        <v>177</v>
      </c>
      <c r="M5" s="6" t="s">
        <v>177</v>
      </c>
      <c r="N5" s="6" t="s">
        <v>177</v>
      </c>
      <c r="O5" s="6" t="s">
        <v>177</v>
      </c>
      <c r="P5" s="6" t="s">
        <v>177</v>
      </c>
      <c r="Q5" s="6" t="s">
        <v>177</v>
      </c>
      <c r="R5" s="22">
        <v>2</v>
      </c>
      <c r="S5" s="22">
        <v>2</v>
      </c>
      <c r="T5" s="22">
        <v>2</v>
      </c>
      <c r="U5" s="22">
        <v>2</v>
      </c>
      <c r="V5" s="22">
        <v>2</v>
      </c>
      <c r="W5" s="22">
        <v>2</v>
      </c>
      <c r="X5" s="22">
        <v>1</v>
      </c>
      <c r="Y5" s="22">
        <v>2</v>
      </c>
      <c r="Z5" s="22">
        <v>2</v>
      </c>
      <c r="AA5" s="22">
        <v>0</v>
      </c>
      <c r="AB5" s="22">
        <v>3</v>
      </c>
      <c r="AC5" s="6" t="s">
        <v>166</v>
      </c>
      <c r="AD5" s="22">
        <v>2</v>
      </c>
      <c r="AE5" s="22">
        <v>2</v>
      </c>
      <c r="AF5" s="22">
        <v>2</v>
      </c>
      <c r="AG5" s="22">
        <v>2</v>
      </c>
      <c r="AH5" s="22">
        <v>1</v>
      </c>
      <c r="AI5" s="22">
        <v>2</v>
      </c>
      <c r="AJ5" s="22">
        <v>2</v>
      </c>
      <c r="AK5" s="22">
        <v>0</v>
      </c>
      <c r="AL5" s="22">
        <v>3</v>
      </c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</row>
    <row r="6" spans="1:266" s="14" customFormat="1" x14ac:dyDescent="0.2">
      <c r="A6" s="6" t="s">
        <v>25</v>
      </c>
      <c r="B6" s="6">
        <v>67</v>
      </c>
      <c r="C6" s="6">
        <v>27</v>
      </c>
      <c r="D6" s="6">
        <v>24</v>
      </c>
      <c r="E6" s="6">
        <v>5</v>
      </c>
      <c r="F6" s="6">
        <v>0</v>
      </c>
      <c r="G6" s="6">
        <v>3</v>
      </c>
      <c r="H6" s="6">
        <v>0</v>
      </c>
      <c r="I6" s="6">
        <v>9</v>
      </c>
      <c r="J6" s="6">
        <v>23</v>
      </c>
      <c r="K6" s="6">
        <v>0</v>
      </c>
      <c r="L6" s="6">
        <v>30</v>
      </c>
      <c r="M6" s="6">
        <v>41</v>
      </c>
      <c r="N6" s="6">
        <v>53</v>
      </c>
      <c r="O6" s="6">
        <f t="shared" ref="O6" si="0">SUM(B6:C6)</f>
        <v>94</v>
      </c>
      <c r="P6" s="6">
        <f t="shared" ref="P6" si="1">SUM(D6:L6)</f>
        <v>94</v>
      </c>
      <c r="Q6" s="6">
        <f t="shared" ref="Q6" si="2">SUM(M6:N6)</f>
        <v>94</v>
      </c>
      <c r="R6" s="6">
        <v>53</v>
      </c>
      <c r="S6" s="6">
        <f t="shared" ref="S6:S19" si="3">SUM(D6:L6)</f>
        <v>94</v>
      </c>
      <c r="T6" s="6">
        <f t="shared" ref="T6:T35" si="4">SUM(M6:N6)</f>
        <v>94</v>
      </c>
      <c r="U6" s="6">
        <v>102</v>
      </c>
      <c r="V6" s="6">
        <v>102</v>
      </c>
      <c r="W6" s="6">
        <v>102</v>
      </c>
      <c r="X6" s="6">
        <v>107</v>
      </c>
      <c r="Y6" s="6">
        <v>112</v>
      </c>
      <c r="Z6" s="6">
        <v>115</v>
      </c>
      <c r="AA6" s="6">
        <v>128</v>
      </c>
      <c r="AB6" s="6">
        <v>149</v>
      </c>
      <c r="AC6" s="6">
        <v>97</v>
      </c>
      <c r="AD6" s="22">
        <v>103</v>
      </c>
      <c r="AE6" s="22">
        <v>102</v>
      </c>
      <c r="AF6" s="22">
        <v>102</v>
      </c>
      <c r="AG6" s="22">
        <v>102</v>
      </c>
      <c r="AH6" s="22">
        <v>107</v>
      </c>
      <c r="AI6" s="22">
        <v>112</v>
      </c>
      <c r="AJ6" s="22">
        <v>115</v>
      </c>
      <c r="AK6" s="22">
        <v>128</v>
      </c>
      <c r="AL6" s="22">
        <v>149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</row>
    <row r="7" spans="1:266" s="4" customFormat="1" x14ac:dyDescent="0.2">
      <c r="A7" s="6" t="s">
        <v>161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f t="shared" ref="O7:O34" si="5">SUM(B7:C7)</f>
        <v>0</v>
      </c>
      <c r="P7" s="6">
        <f t="shared" ref="P7:P34" si="6">SUM(D7:L7)</f>
        <v>0</v>
      </c>
      <c r="Q7" s="6">
        <f t="shared" ref="Q7:Q34" si="7">SUM(M7:N7)</f>
        <v>0</v>
      </c>
      <c r="R7" s="22">
        <f t="shared" ref="R7:R19" si="8">SUM(B7:C7)</f>
        <v>0</v>
      </c>
      <c r="S7" s="22">
        <f t="shared" si="3"/>
        <v>0</v>
      </c>
      <c r="T7" s="22">
        <f t="shared" si="4"/>
        <v>0</v>
      </c>
      <c r="U7" s="22">
        <v>0</v>
      </c>
      <c r="V7" s="22">
        <v>0</v>
      </c>
      <c r="W7" s="22">
        <v>0</v>
      </c>
      <c r="X7" s="22">
        <v>0</v>
      </c>
      <c r="Y7" s="22">
        <v>2</v>
      </c>
      <c r="Z7" s="22">
        <v>0</v>
      </c>
      <c r="AA7" s="22">
        <v>0</v>
      </c>
      <c r="AB7" s="22">
        <v>0</v>
      </c>
      <c r="AC7" s="6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2</v>
      </c>
      <c r="AJ7" s="22">
        <v>0</v>
      </c>
      <c r="AK7" s="22">
        <v>0</v>
      </c>
      <c r="AL7" s="22">
        <v>0</v>
      </c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</row>
    <row r="8" spans="1:266" s="3" customFormat="1" x14ac:dyDescent="0.2">
      <c r="A8" s="22" t="s">
        <v>162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f t="shared" si="5"/>
        <v>0</v>
      </c>
      <c r="P8" s="6">
        <f t="shared" si="6"/>
        <v>0</v>
      </c>
      <c r="Q8" s="6">
        <f t="shared" si="7"/>
        <v>0</v>
      </c>
      <c r="R8" s="22">
        <f t="shared" si="8"/>
        <v>0</v>
      </c>
      <c r="S8" s="22">
        <f t="shared" si="3"/>
        <v>0</v>
      </c>
      <c r="T8" s="22">
        <f>SUM(M8:N8)</f>
        <v>0</v>
      </c>
      <c r="U8" s="22">
        <v>1</v>
      </c>
      <c r="V8" s="22">
        <v>1</v>
      </c>
      <c r="W8" s="22">
        <v>1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6">
        <v>0</v>
      </c>
      <c r="AD8" s="22">
        <v>0</v>
      </c>
      <c r="AE8" s="22">
        <v>1</v>
      </c>
      <c r="AF8" s="22">
        <v>1</v>
      </c>
      <c r="AG8" s="22">
        <v>1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1"/>
      <c r="IX8" s="51"/>
      <c r="IY8" s="51"/>
      <c r="IZ8" s="51"/>
      <c r="JA8" s="51"/>
      <c r="JB8" s="51"/>
      <c r="JC8" s="51"/>
      <c r="JD8" s="51"/>
      <c r="JE8" s="51"/>
      <c r="JF8" s="51"/>
    </row>
    <row r="9" spans="1:266" s="4" customFormat="1" x14ac:dyDescent="0.2">
      <c r="A9" s="6" t="s">
        <v>163</v>
      </c>
      <c r="B9" s="6">
        <v>2</v>
      </c>
      <c r="C9" s="6">
        <v>0</v>
      </c>
      <c r="D9" s="6">
        <v>0.5</v>
      </c>
      <c r="E9" s="6">
        <v>0</v>
      </c>
      <c r="F9" s="6">
        <v>0</v>
      </c>
      <c r="G9" s="6">
        <v>1.5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1</v>
      </c>
      <c r="O9" s="6">
        <v>2</v>
      </c>
      <c r="P9" s="6">
        <v>2</v>
      </c>
      <c r="Q9" s="6">
        <v>2</v>
      </c>
      <c r="R9" s="22">
        <f t="shared" si="8"/>
        <v>2</v>
      </c>
      <c r="S9" s="22">
        <f t="shared" si="3"/>
        <v>2</v>
      </c>
      <c r="T9" s="22">
        <f t="shared" si="4"/>
        <v>2</v>
      </c>
      <c r="U9" s="22">
        <v>2</v>
      </c>
      <c r="V9" s="22">
        <v>2</v>
      </c>
      <c r="W9" s="22">
        <v>2</v>
      </c>
      <c r="X9" s="22">
        <v>2</v>
      </c>
      <c r="Y9" s="22">
        <v>3</v>
      </c>
      <c r="Z9" s="22">
        <v>3</v>
      </c>
      <c r="AA9" s="22">
        <v>3</v>
      </c>
      <c r="AB9" s="22">
        <v>3</v>
      </c>
      <c r="AC9" s="6">
        <v>2</v>
      </c>
      <c r="AD9" s="22">
        <v>0</v>
      </c>
      <c r="AE9" s="22">
        <v>2</v>
      </c>
      <c r="AF9" s="22">
        <v>2</v>
      </c>
      <c r="AG9" s="22">
        <v>2</v>
      </c>
      <c r="AH9" s="22">
        <v>2</v>
      </c>
      <c r="AI9" s="22">
        <v>3</v>
      </c>
      <c r="AJ9" s="22">
        <v>3</v>
      </c>
      <c r="AK9" s="22">
        <v>3</v>
      </c>
      <c r="AL9" s="22">
        <v>3</v>
      </c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  <c r="IW9" s="52"/>
      <c r="IX9" s="52"/>
      <c r="IY9" s="52"/>
      <c r="IZ9" s="52"/>
      <c r="JA9" s="52"/>
      <c r="JB9" s="52"/>
      <c r="JC9" s="52"/>
      <c r="JD9" s="52"/>
      <c r="JE9" s="52"/>
      <c r="JF9" s="52"/>
    </row>
    <row r="10" spans="1:266" s="14" customFormat="1" x14ac:dyDescent="0.2">
      <c r="A10" s="6" t="s">
        <v>126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f t="shared" si="5"/>
        <v>0</v>
      </c>
      <c r="P10" s="6">
        <f t="shared" si="6"/>
        <v>0</v>
      </c>
      <c r="Q10" s="6">
        <f t="shared" si="7"/>
        <v>0</v>
      </c>
      <c r="R10" s="6">
        <f t="shared" si="8"/>
        <v>0</v>
      </c>
      <c r="S10" s="6">
        <f t="shared" si="3"/>
        <v>0</v>
      </c>
      <c r="T10" s="6">
        <f t="shared" si="4"/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</row>
    <row r="11" spans="1:266" s="3" customFormat="1" x14ac:dyDescent="0.2">
      <c r="A11" s="6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f t="shared" si="5"/>
        <v>0</v>
      </c>
      <c r="P11" s="6">
        <f t="shared" si="6"/>
        <v>0</v>
      </c>
      <c r="Q11" s="6">
        <f t="shared" si="7"/>
        <v>0</v>
      </c>
      <c r="R11" s="22">
        <f t="shared" si="8"/>
        <v>0</v>
      </c>
      <c r="S11" s="22">
        <f t="shared" si="3"/>
        <v>0</v>
      </c>
      <c r="T11" s="22">
        <f t="shared" si="4"/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6">
        <v>20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</row>
    <row r="12" spans="1:266" s="14" customFormat="1" x14ac:dyDescent="0.2">
      <c r="A12" s="6" t="s">
        <v>27</v>
      </c>
      <c r="B12" s="6">
        <v>0</v>
      </c>
      <c r="C12" s="6">
        <v>1</v>
      </c>
      <c r="D12" s="6">
        <v>0</v>
      </c>
      <c r="E12" s="6">
        <v>0</v>
      </c>
      <c r="F12" s="6">
        <v>0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1</v>
      </c>
      <c r="O12" s="6">
        <v>1</v>
      </c>
      <c r="P12" s="6">
        <f t="shared" si="6"/>
        <v>1</v>
      </c>
      <c r="Q12" s="6">
        <v>1</v>
      </c>
      <c r="R12" s="6">
        <f t="shared" si="8"/>
        <v>1</v>
      </c>
      <c r="S12" s="6">
        <f t="shared" si="3"/>
        <v>1</v>
      </c>
      <c r="T12" s="6">
        <f t="shared" si="4"/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22">
        <v>1</v>
      </c>
      <c r="AE12" s="22">
        <v>1</v>
      </c>
      <c r="AF12" s="22">
        <v>1</v>
      </c>
      <c r="AG12" s="22">
        <v>1</v>
      </c>
      <c r="AH12" s="22">
        <v>1</v>
      </c>
      <c r="AI12" s="22">
        <v>1</v>
      </c>
      <c r="AJ12" s="22">
        <v>1</v>
      </c>
      <c r="AK12" s="22">
        <v>1</v>
      </c>
      <c r="AL12" s="22">
        <v>1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</row>
    <row r="13" spans="1:266" s="3" customFormat="1" x14ac:dyDescent="0.2">
      <c r="A13" s="6" t="s">
        <v>71</v>
      </c>
      <c r="B13" s="6">
        <v>19</v>
      </c>
      <c r="C13" s="6">
        <v>0</v>
      </c>
      <c r="D13" s="6">
        <v>6</v>
      </c>
      <c r="E13" s="6">
        <v>3</v>
      </c>
      <c r="F13" s="6">
        <v>0</v>
      </c>
      <c r="G13" s="6">
        <v>0</v>
      </c>
      <c r="H13" s="6">
        <v>1</v>
      </c>
      <c r="I13" s="6">
        <v>4</v>
      </c>
      <c r="J13" s="6">
        <v>3</v>
      </c>
      <c r="K13" s="6">
        <v>1</v>
      </c>
      <c r="L13" s="6">
        <v>1</v>
      </c>
      <c r="M13" s="6">
        <v>7</v>
      </c>
      <c r="N13" s="6">
        <v>12</v>
      </c>
      <c r="O13" s="6">
        <f t="shared" si="5"/>
        <v>19</v>
      </c>
      <c r="P13" s="6">
        <f t="shared" si="6"/>
        <v>19</v>
      </c>
      <c r="Q13" s="6">
        <f t="shared" si="7"/>
        <v>19</v>
      </c>
      <c r="R13" s="22">
        <f>SUM(B13:C13)</f>
        <v>19</v>
      </c>
      <c r="S13" s="22"/>
      <c r="T13" s="22">
        <f t="shared" si="4"/>
        <v>19</v>
      </c>
      <c r="U13" s="22">
        <v>31</v>
      </c>
      <c r="V13" s="22">
        <v>31</v>
      </c>
      <c r="W13" s="22">
        <v>31</v>
      </c>
      <c r="X13" s="22">
        <v>35</v>
      </c>
      <c r="Y13" s="22">
        <v>21</v>
      </c>
      <c r="Z13" s="22">
        <v>34</v>
      </c>
      <c r="AA13" s="22">
        <v>32</v>
      </c>
      <c r="AB13" s="22">
        <v>24</v>
      </c>
      <c r="AC13" s="6">
        <v>22</v>
      </c>
      <c r="AD13" s="22">
        <v>22</v>
      </c>
      <c r="AE13" s="22">
        <v>31</v>
      </c>
      <c r="AF13" s="22">
        <v>31</v>
      </c>
      <c r="AG13" s="22">
        <v>31</v>
      </c>
      <c r="AH13" s="22">
        <v>35</v>
      </c>
      <c r="AI13" s="22">
        <v>21</v>
      </c>
      <c r="AJ13" s="22">
        <v>34</v>
      </c>
      <c r="AK13" s="22">
        <v>32</v>
      </c>
      <c r="AL13" s="22">
        <v>24</v>
      </c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C13" s="51"/>
      <c r="JD13" s="51"/>
      <c r="JE13" s="51"/>
      <c r="JF13" s="51"/>
    </row>
    <row r="14" spans="1:266" s="14" customFormat="1" x14ac:dyDescent="0.2">
      <c r="A14" s="6" t="s">
        <v>118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f t="shared" si="5"/>
        <v>0</v>
      </c>
      <c r="P14" s="6">
        <f t="shared" si="6"/>
        <v>0</v>
      </c>
      <c r="Q14" s="6">
        <f t="shared" si="7"/>
        <v>0</v>
      </c>
      <c r="R14" s="6">
        <f t="shared" si="8"/>
        <v>0</v>
      </c>
      <c r="S14" s="6">
        <f t="shared" si="3"/>
        <v>0</v>
      </c>
      <c r="T14" s="6">
        <f>SUM(M14:N14)</f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</row>
    <row r="15" spans="1:266" s="3" customFormat="1" x14ac:dyDescent="0.2">
      <c r="A15" s="6" t="s">
        <v>75</v>
      </c>
      <c r="B15" s="6">
        <v>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3</v>
      </c>
      <c r="L15" s="6">
        <v>0</v>
      </c>
      <c r="M15" s="6">
        <v>1</v>
      </c>
      <c r="N15" s="6">
        <v>2</v>
      </c>
      <c r="O15" s="6">
        <v>3</v>
      </c>
      <c r="P15" s="6">
        <v>3</v>
      </c>
      <c r="Q15" s="6">
        <v>3</v>
      </c>
      <c r="R15" s="22" t="s">
        <v>127</v>
      </c>
      <c r="S15" s="22">
        <v>8</v>
      </c>
      <c r="T15" s="22">
        <v>8</v>
      </c>
      <c r="U15" s="22">
        <v>6</v>
      </c>
      <c r="V15" s="22">
        <v>6</v>
      </c>
      <c r="W15" s="22">
        <v>6</v>
      </c>
      <c r="X15" s="22">
        <v>6</v>
      </c>
      <c r="Y15" s="22">
        <v>0</v>
      </c>
      <c r="Z15" s="22">
        <v>3</v>
      </c>
      <c r="AA15" s="22">
        <v>4</v>
      </c>
      <c r="AB15" s="22">
        <v>0</v>
      </c>
      <c r="AC15" s="6">
        <v>5</v>
      </c>
      <c r="AD15" s="22">
        <v>8</v>
      </c>
      <c r="AE15" s="22">
        <v>6</v>
      </c>
      <c r="AF15" s="22">
        <v>6</v>
      </c>
      <c r="AG15" s="22">
        <v>6</v>
      </c>
      <c r="AH15" s="22">
        <v>6</v>
      </c>
      <c r="AI15" s="22">
        <v>0</v>
      </c>
      <c r="AJ15" s="22">
        <v>3</v>
      </c>
      <c r="AK15" s="22">
        <v>4</v>
      </c>
      <c r="AL15" s="22">
        <v>0</v>
      </c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  <c r="IW15" s="51"/>
      <c r="IX15" s="51"/>
      <c r="IY15" s="51"/>
      <c r="IZ15" s="51"/>
      <c r="JA15" s="51"/>
      <c r="JB15" s="51"/>
      <c r="JC15" s="51"/>
      <c r="JD15" s="51"/>
      <c r="JE15" s="51"/>
      <c r="JF15" s="51"/>
    </row>
    <row r="16" spans="1:266" s="48" customFormat="1" x14ac:dyDescent="0.2">
      <c r="A16" s="6" t="s">
        <v>79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t="shared" si="5"/>
        <v>0</v>
      </c>
      <c r="P16" s="6">
        <f t="shared" si="6"/>
        <v>0</v>
      </c>
      <c r="Q16" s="6">
        <f t="shared" si="7"/>
        <v>0</v>
      </c>
      <c r="R16" s="6">
        <f t="shared" si="8"/>
        <v>0</v>
      </c>
      <c r="S16" s="6">
        <f t="shared" si="3"/>
        <v>0</v>
      </c>
      <c r="T16" s="6">
        <f t="shared" si="4"/>
        <v>0</v>
      </c>
      <c r="U16" s="6">
        <v>0</v>
      </c>
      <c r="V16" s="6">
        <v>0</v>
      </c>
      <c r="W16" s="6">
        <v>0</v>
      </c>
      <c r="X16" s="6">
        <v>0</v>
      </c>
      <c r="Y16" s="6">
        <v>3</v>
      </c>
      <c r="Z16" s="6">
        <v>2</v>
      </c>
      <c r="AA16" s="6">
        <v>2</v>
      </c>
      <c r="AB16" s="6">
        <v>0</v>
      </c>
      <c r="AC16" s="6">
        <v>0</v>
      </c>
      <c r="AD16" s="6">
        <v>1</v>
      </c>
      <c r="AE16" s="6">
        <v>0</v>
      </c>
      <c r="AF16" s="6">
        <v>0</v>
      </c>
      <c r="AG16" s="6">
        <v>0</v>
      </c>
      <c r="AH16" s="6">
        <v>0</v>
      </c>
      <c r="AI16" s="6">
        <v>3</v>
      </c>
      <c r="AJ16" s="6">
        <v>2</v>
      </c>
      <c r="AK16" s="6">
        <v>2</v>
      </c>
      <c r="AL16" s="6">
        <v>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</row>
    <row r="17" spans="1:266" s="3" customFormat="1" x14ac:dyDescent="0.2">
      <c r="A17" s="22" t="s">
        <v>72</v>
      </c>
      <c r="B17" s="6">
        <v>8</v>
      </c>
      <c r="C17" s="6">
        <v>0</v>
      </c>
      <c r="D17" s="6">
        <v>2</v>
      </c>
      <c r="E17" s="6">
        <v>1</v>
      </c>
      <c r="F17" s="6">
        <v>0</v>
      </c>
      <c r="G17" s="6">
        <v>1</v>
      </c>
      <c r="H17" s="6">
        <v>0</v>
      </c>
      <c r="I17" s="6">
        <v>3</v>
      </c>
      <c r="J17" s="6">
        <v>0</v>
      </c>
      <c r="K17" s="6">
        <v>0</v>
      </c>
      <c r="L17" s="6">
        <v>1</v>
      </c>
      <c r="M17" s="6">
        <v>3</v>
      </c>
      <c r="N17" s="6">
        <v>5</v>
      </c>
      <c r="O17" s="6">
        <f>SUM(Table2[[#This Row],[Column12]:[Column13]])</f>
        <v>8</v>
      </c>
      <c r="P17" s="6">
        <v>8</v>
      </c>
      <c r="Q17" s="6">
        <v>8</v>
      </c>
      <c r="R17" s="22">
        <f t="shared" si="8"/>
        <v>8</v>
      </c>
      <c r="S17" s="22">
        <f t="shared" si="3"/>
        <v>8</v>
      </c>
      <c r="T17" s="22">
        <f t="shared" si="4"/>
        <v>8</v>
      </c>
      <c r="U17" s="22">
        <v>12</v>
      </c>
      <c r="V17" s="22">
        <v>12</v>
      </c>
      <c r="W17" s="22">
        <v>12</v>
      </c>
      <c r="X17" s="22">
        <v>10</v>
      </c>
      <c r="Y17" s="22">
        <v>3</v>
      </c>
      <c r="Z17" s="22">
        <v>7</v>
      </c>
      <c r="AA17" s="22">
        <v>2</v>
      </c>
      <c r="AB17" s="22">
        <v>4</v>
      </c>
      <c r="AC17" s="6">
        <v>6</v>
      </c>
      <c r="AD17" s="22">
        <v>11</v>
      </c>
      <c r="AE17" s="22">
        <v>12</v>
      </c>
      <c r="AF17" s="22">
        <v>12</v>
      </c>
      <c r="AG17" s="22">
        <v>12</v>
      </c>
      <c r="AH17" s="22">
        <v>10</v>
      </c>
      <c r="AI17" s="22">
        <v>3</v>
      </c>
      <c r="AJ17" s="22">
        <v>7</v>
      </c>
      <c r="AK17" s="22">
        <v>2</v>
      </c>
      <c r="AL17" s="22">
        <v>4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  <c r="IY17" s="51"/>
      <c r="IZ17" s="51"/>
      <c r="JA17" s="51"/>
      <c r="JB17" s="51"/>
      <c r="JC17" s="51"/>
      <c r="JD17" s="51"/>
      <c r="JE17" s="51"/>
      <c r="JF17" s="51"/>
    </row>
    <row r="18" spans="1:266" s="48" customFormat="1" x14ac:dyDescent="0.2">
      <c r="A18" s="6" t="s">
        <v>77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f t="shared" si="5"/>
        <v>0</v>
      </c>
      <c r="P18" s="6">
        <f t="shared" si="6"/>
        <v>0</v>
      </c>
      <c r="Q18" s="6">
        <f t="shared" si="7"/>
        <v>0</v>
      </c>
      <c r="R18" s="6">
        <f t="shared" si="8"/>
        <v>0</v>
      </c>
      <c r="S18" s="6">
        <f t="shared" si="3"/>
        <v>0</v>
      </c>
      <c r="T18" s="6">
        <f t="shared" si="4"/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</row>
    <row r="19" spans="1:266" s="4" customFormat="1" x14ac:dyDescent="0.2">
      <c r="A19" s="22" t="s">
        <v>28</v>
      </c>
      <c r="B19" s="6">
        <v>3</v>
      </c>
      <c r="C19" s="6">
        <v>0</v>
      </c>
      <c r="D19" s="6">
        <v>0</v>
      </c>
      <c r="E19" s="6">
        <v>2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2</v>
      </c>
      <c r="N19" s="6">
        <v>1</v>
      </c>
      <c r="O19" s="6">
        <v>3</v>
      </c>
      <c r="P19" s="6">
        <v>3</v>
      </c>
      <c r="Q19" s="6">
        <v>3</v>
      </c>
      <c r="R19" s="22">
        <f t="shared" si="8"/>
        <v>3</v>
      </c>
      <c r="S19" s="22">
        <f t="shared" si="3"/>
        <v>3</v>
      </c>
      <c r="T19" s="22">
        <v>3</v>
      </c>
      <c r="U19" s="22">
        <v>3</v>
      </c>
      <c r="V19" s="22">
        <v>3</v>
      </c>
      <c r="W19" s="22">
        <v>3</v>
      </c>
      <c r="X19" s="22">
        <v>3</v>
      </c>
      <c r="Y19" s="22">
        <v>3</v>
      </c>
      <c r="Z19" s="22">
        <v>3</v>
      </c>
      <c r="AA19" s="22">
        <v>5</v>
      </c>
      <c r="AB19" s="22">
        <v>5</v>
      </c>
      <c r="AC19" s="6">
        <v>0</v>
      </c>
      <c r="AD19" s="22">
        <v>3</v>
      </c>
      <c r="AE19" s="22">
        <v>3</v>
      </c>
      <c r="AF19" s="22">
        <v>3</v>
      </c>
      <c r="AG19" s="22">
        <v>3</v>
      </c>
      <c r="AH19" s="22">
        <v>3</v>
      </c>
      <c r="AI19" s="22">
        <v>3</v>
      </c>
      <c r="AJ19" s="22">
        <v>3</v>
      </c>
      <c r="AK19" s="22">
        <v>5</v>
      </c>
      <c r="AL19" s="22">
        <v>5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</row>
    <row r="20" spans="1:266" ht="12.75" hidden="1" customHeight="1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f t="shared" si="5"/>
        <v>0</v>
      </c>
      <c r="P20" s="38">
        <f t="shared" si="6"/>
        <v>0</v>
      </c>
      <c r="Q20" s="38">
        <f t="shared" si="7"/>
        <v>0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6">
        <v>0</v>
      </c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266" s="47" customFormat="1" ht="12.75" customHeight="1" x14ac:dyDescent="0.2">
      <c r="A21" s="6" t="s">
        <v>159</v>
      </c>
      <c r="B21" s="6" t="s">
        <v>166</v>
      </c>
      <c r="C21" s="6" t="s">
        <v>166</v>
      </c>
      <c r="D21" s="6" t="s">
        <v>166</v>
      </c>
      <c r="E21" s="6" t="s">
        <v>166</v>
      </c>
      <c r="F21" s="6" t="s">
        <v>166</v>
      </c>
      <c r="G21" s="6" t="s">
        <v>166</v>
      </c>
      <c r="H21" s="6" t="s">
        <v>166</v>
      </c>
      <c r="I21" s="6" t="s">
        <v>166</v>
      </c>
      <c r="J21" s="6" t="s">
        <v>166</v>
      </c>
      <c r="K21" s="6" t="s">
        <v>166</v>
      </c>
      <c r="L21" s="6" t="s">
        <v>166</v>
      </c>
      <c r="M21" s="6" t="s">
        <v>166</v>
      </c>
      <c r="N21" s="6" t="s">
        <v>166</v>
      </c>
      <c r="O21" s="6" t="s">
        <v>166</v>
      </c>
      <c r="P21" s="6" t="s">
        <v>166</v>
      </c>
      <c r="Q21" s="6" t="s">
        <v>166</v>
      </c>
      <c r="R21" s="85">
        <f>SUM(B21:C21)</f>
        <v>0</v>
      </c>
      <c r="S21" s="85">
        <f>SUM(D21:L21)</f>
        <v>0</v>
      </c>
      <c r="T21" s="85">
        <f>SUM(M21:N21)</f>
        <v>0</v>
      </c>
      <c r="U21" s="6"/>
      <c r="V21" s="6"/>
      <c r="W21" s="6"/>
      <c r="X21" s="6"/>
      <c r="Y21" s="6"/>
      <c r="Z21" s="6"/>
      <c r="AA21" s="6"/>
      <c r="AB21" s="6"/>
      <c r="AC21" s="6" t="s">
        <v>166</v>
      </c>
      <c r="AD21" s="22">
        <v>0</v>
      </c>
      <c r="AE21" s="22">
        <v>0</v>
      </c>
      <c r="AF21" s="22">
        <v>0</v>
      </c>
      <c r="AG21" s="22">
        <v>0</v>
      </c>
      <c r="AH21" s="22">
        <v>2</v>
      </c>
      <c r="AI21" s="22">
        <v>0</v>
      </c>
      <c r="AJ21" s="22">
        <v>1</v>
      </c>
      <c r="AK21" s="22">
        <v>0</v>
      </c>
      <c r="AL21" s="22">
        <v>0</v>
      </c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</row>
    <row r="22" spans="1:266" s="45" customFormat="1" x14ac:dyDescent="0.2">
      <c r="A22" s="20" t="s">
        <v>61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f t="shared" si="5"/>
        <v>0</v>
      </c>
      <c r="P22" s="20">
        <f t="shared" si="6"/>
        <v>0</v>
      </c>
      <c r="Q22" s="20">
        <f t="shared" si="7"/>
        <v>0</v>
      </c>
      <c r="R22" s="6">
        <f t="shared" ref="R22:R34" si="9">SUM(B22:C22)</f>
        <v>0</v>
      </c>
      <c r="S22" s="6">
        <f t="shared" ref="S22:S35" si="10">SUM(D22:L22)</f>
        <v>0</v>
      </c>
      <c r="T22" s="6">
        <f t="shared" si="4"/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</row>
    <row r="23" spans="1:266" s="4" customFormat="1" x14ac:dyDescent="0.2">
      <c r="A23" s="6" t="s">
        <v>78</v>
      </c>
      <c r="B23" s="6">
        <v>26</v>
      </c>
      <c r="C23" s="6">
        <v>12</v>
      </c>
      <c r="D23" s="6">
        <v>17</v>
      </c>
      <c r="E23" s="6">
        <v>4</v>
      </c>
      <c r="F23" s="6">
        <v>0</v>
      </c>
      <c r="G23" s="6">
        <v>0</v>
      </c>
      <c r="H23" s="6">
        <v>10</v>
      </c>
      <c r="I23" s="6">
        <v>1</v>
      </c>
      <c r="J23" s="6">
        <v>1</v>
      </c>
      <c r="K23" s="6">
        <v>2</v>
      </c>
      <c r="L23" s="6">
        <v>3</v>
      </c>
      <c r="M23" s="6">
        <v>16</v>
      </c>
      <c r="N23" s="6">
        <v>22</v>
      </c>
      <c r="O23" s="6">
        <f t="shared" si="5"/>
        <v>38</v>
      </c>
      <c r="P23" s="6">
        <f t="shared" si="6"/>
        <v>38</v>
      </c>
      <c r="Q23" s="6">
        <f t="shared" si="7"/>
        <v>38</v>
      </c>
      <c r="R23" s="22">
        <f t="shared" si="9"/>
        <v>38</v>
      </c>
      <c r="S23" s="22">
        <f t="shared" si="10"/>
        <v>38</v>
      </c>
      <c r="T23" s="22">
        <v>42</v>
      </c>
      <c r="U23" s="22">
        <v>47</v>
      </c>
      <c r="V23" s="22">
        <v>47</v>
      </c>
      <c r="W23" s="22">
        <v>47</v>
      </c>
      <c r="X23" s="22">
        <v>51</v>
      </c>
      <c r="Y23" s="22">
        <v>51</v>
      </c>
      <c r="Z23" s="22">
        <v>57</v>
      </c>
      <c r="AA23" s="22">
        <v>55</v>
      </c>
      <c r="AB23" s="22">
        <v>57</v>
      </c>
      <c r="AC23" s="6">
        <v>36</v>
      </c>
      <c r="AD23" s="22">
        <v>42</v>
      </c>
      <c r="AE23" s="22">
        <v>47</v>
      </c>
      <c r="AF23" s="22">
        <v>47</v>
      </c>
      <c r="AG23" s="22">
        <v>47</v>
      </c>
      <c r="AH23" s="22">
        <v>51</v>
      </c>
      <c r="AI23" s="22">
        <v>51</v>
      </c>
      <c r="AJ23" s="22">
        <v>57</v>
      </c>
      <c r="AK23" s="22">
        <v>55</v>
      </c>
      <c r="AL23" s="22">
        <v>57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</row>
    <row r="24" spans="1:266" s="3" customFormat="1" ht="12.75" hidden="1" customHeight="1" x14ac:dyDescent="0.2">
      <c r="A24" s="38" t="s">
        <v>29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/>
      <c r="L24" s="38">
        <v>0</v>
      </c>
      <c r="M24" s="38">
        <v>0</v>
      </c>
      <c r="N24" s="38">
        <v>0</v>
      </c>
      <c r="O24" s="38">
        <f t="shared" si="5"/>
        <v>0</v>
      </c>
      <c r="P24" s="38">
        <f t="shared" si="6"/>
        <v>0</v>
      </c>
      <c r="Q24" s="38">
        <f t="shared" si="7"/>
        <v>0</v>
      </c>
      <c r="R24" s="22">
        <f t="shared" si="9"/>
        <v>0</v>
      </c>
      <c r="S24" s="22">
        <f t="shared" si="10"/>
        <v>0</v>
      </c>
      <c r="T24" s="22">
        <f t="shared" si="4"/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6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  <c r="IW24" s="51"/>
      <c r="IX24" s="51"/>
      <c r="IY24" s="51"/>
      <c r="IZ24" s="51"/>
      <c r="JA24" s="51"/>
      <c r="JB24" s="51"/>
      <c r="JC24" s="51"/>
      <c r="JD24" s="51"/>
      <c r="JE24" s="51"/>
      <c r="JF24" s="51"/>
    </row>
    <row r="25" spans="1:266" s="45" customFormat="1" x14ac:dyDescent="0.2">
      <c r="A25" s="6" t="s">
        <v>176</v>
      </c>
      <c r="B25" s="6" t="s">
        <v>166</v>
      </c>
      <c r="C25" s="6" t="s">
        <v>166</v>
      </c>
      <c r="D25" s="6" t="s">
        <v>166</v>
      </c>
      <c r="E25" s="6" t="s">
        <v>166</v>
      </c>
      <c r="F25" s="6" t="s">
        <v>166</v>
      </c>
      <c r="G25" s="6" t="s">
        <v>166</v>
      </c>
      <c r="H25" s="6" t="s">
        <v>166</v>
      </c>
      <c r="I25" s="6" t="s">
        <v>166</v>
      </c>
      <c r="J25" s="6" t="s">
        <v>166</v>
      </c>
      <c r="K25" s="6" t="s">
        <v>166</v>
      </c>
      <c r="L25" s="6" t="s">
        <v>166</v>
      </c>
      <c r="M25" s="6" t="s">
        <v>166</v>
      </c>
      <c r="N25" s="6" t="s">
        <v>166</v>
      </c>
      <c r="O25" s="6" t="s">
        <v>166</v>
      </c>
      <c r="P25" s="6" t="s">
        <v>166</v>
      </c>
      <c r="Q25" s="6" t="s">
        <v>166</v>
      </c>
      <c r="R25" s="6">
        <f t="shared" si="9"/>
        <v>0</v>
      </c>
      <c r="S25" s="6">
        <f t="shared" si="10"/>
        <v>0</v>
      </c>
      <c r="T25" s="6">
        <f t="shared" si="4"/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1</v>
      </c>
      <c r="AB25" s="6">
        <v>1</v>
      </c>
      <c r="AC25" s="6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1</v>
      </c>
      <c r="AL25" s="22">
        <v>1</v>
      </c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</row>
    <row r="26" spans="1:266" s="45" customFormat="1" x14ac:dyDescent="0.2">
      <c r="A26" s="6" t="s">
        <v>30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f t="shared" si="5"/>
        <v>0</v>
      </c>
      <c r="P26" s="6">
        <f t="shared" si="6"/>
        <v>0</v>
      </c>
      <c r="Q26" s="6">
        <f t="shared" si="7"/>
        <v>0</v>
      </c>
      <c r="R26" s="6">
        <f t="shared" si="9"/>
        <v>0</v>
      </c>
      <c r="S26" s="6">
        <f t="shared" si="10"/>
        <v>0</v>
      </c>
      <c r="T26" s="6">
        <f t="shared" si="4"/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</row>
    <row r="27" spans="1:266" s="14" customFormat="1" x14ac:dyDescent="0.2">
      <c r="A27" s="6" t="s">
        <v>124</v>
      </c>
      <c r="B27" s="6">
        <v>8</v>
      </c>
      <c r="C27" s="6">
        <v>0</v>
      </c>
      <c r="D27" s="6">
        <v>6</v>
      </c>
      <c r="E27" s="6">
        <v>0</v>
      </c>
      <c r="F27" s="6">
        <v>0</v>
      </c>
      <c r="G27" s="6">
        <v>2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3</v>
      </c>
      <c r="N27" s="6">
        <v>5</v>
      </c>
      <c r="O27" s="6">
        <v>8</v>
      </c>
      <c r="P27" s="6">
        <v>8</v>
      </c>
      <c r="Q27" s="6">
        <v>8</v>
      </c>
      <c r="R27" s="6">
        <f t="shared" si="9"/>
        <v>8</v>
      </c>
      <c r="S27" s="6">
        <f t="shared" si="10"/>
        <v>8</v>
      </c>
      <c r="T27" s="6">
        <f t="shared" si="4"/>
        <v>8</v>
      </c>
      <c r="U27" s="6">
        <v>5</v>
      </c>
      <c r="V27" s="6">
        <v>5</v>
      </c>
      <c r="W27" s="6">
        <v>5</v>
      </c>
      <c r="X27" s="6">
        <v>5</v>
      </c>
      <c r="Y27" s="6">
        <v>8</v>
      </c>
      <c r="Z27" s="6">
        <v>10</v>
      </c>
      <c r="AA27" s="6">
        <v>8</v>
      </c>
      <c r="AB27" s="6">
        <v>6</v>
      </c>
      <c r="AC27" s="6">
        <v>4</v>
      </c>
      <c r="AD27" s="22">
        <v>4</v>
      </c>
      <c r="AE27" s="22">
        <v>5</v>
      </c>
      <c r="AF27" s="22">
        <v>5</v>
      </c>
      <c r="AG27" s="22">
        <v>5</v>
      </c>
      <c r="AH27" s="22">
        <v>5</v>
      </c>
      <c r="AI27" s="22">
        <v>8</v>
      </c>
      <c r="AJ27" s="22">
        <v>10</v>
      </c>
      <c r="AK27" s="22">
        <v>8</v>
      </c>
      <c r="AL27" s="22">
        <v>6</v>
      </c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</row>
    <row r="28" spans="1:266" s="24" customFormat="1" x14ac:dyDescent="0.2">
      <c r="A28" s="6" t="s">
        <v>32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f t="shared" si="5"/>
        <v>0</v>
      </c>
      <c r="P28" s="6">
        <f t="shared" si="6"/>
        <v>0</v>
      </c>
      <c r="Q28" s="6">
        <f t="shared" si="7"/>
        <v>0</v>
      </c>
      <c r="R28" s="22">
        <f t="shared" si="9"/>
        <v>0</v>
      </c>
      <c r="S28" s="22">
        <f t="shared" si="10"/>
        <v>0</v>
      </c>
      <c r="T28" s="22">
        <f t="shared" si="4"/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6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</row>
    <row r="29" spans="1:266" s="23" customFormat="1" x14ac:dyDescent="0.2">
      <c r="A29" s="22" t="s">
        <v>33</v>
      </c>
      <c r="B29" s="6">
        <v>40</v>
      </c>
      <c r="C29" s="6">
        <v>17</v>
      </c>
      <c r="D29" s="6">
        <v>16</v>
      </c>
      <c r="E29" s="6">
        <v>16</v>
      </c>
      <c r="F29" s="6">
        <v>0</v>
      </c>
      <c r="G29" s="6">
        <v>8</v>
      </c>
      <c r="H29" s="6">
        <v>1</v>
      </c>
      <c r="I29" s="6">
        <v>8</v>
      </c>
      <c r="J29" s="6">
        <v>5</v>
      </c>
      <c r="K29" s="6">
        <v>2</v>
      </c>
      <c r="L29" s="6">
        <v>1</v>
      </c>
      <c r="M29" s="6">
        <v>23</v>
      </c>
      <c r="N29" s="6">
        <v>34</v>
      </c>
      <c r="O29" s="6">
        <v>57</v>
      </c>
      <c r="P29" s="6">
        <v>57</v>
      </c>
      <c r="Q29" s="6">
        <v>57</v>
      </c>
      <c r="R29" s="22">
        <f t="shared" si="9"/>
        <v>57</v>
      </c>
      <c r="S29" s="22">
        <f t="shared" si="10"/>
        <v>57</v>
      </c>
      <c r="T29" s="22">
        <f t="shared" si="4"/>
        <v>57</v>
      </c>
      <c r="U29" s="22">
        <v>90</v>
      </c>
      <c r="V29" s="22">
        <v>90</v>
      </c>
      <c r="W29" s="22">
        <v>90</v>
      </c>
      <c r="X29" s="22">
        <v>88</v>
      </c>
      <c r="Y29" s="22">
        <v>104</v>
      </c>
      <c r="Z29" s="22">
        <v>112</v>
      </c>
      <c r="AA29" s="22">
        <v>100</v>
      </c>
      <c r="AB29" s="22">
        <v>107</v>
      </c>
      <c r="AC29" s="6">
        <v>65</v>
      </c>
      <c r="AD29" s="22">
        <v>77</v>
      </c>
      <c r="AE29" s="22">
        <v>90</v>
      </c>
      <c r="AF29" s="22">
        <v>90</v>
      </c>
      <c r="AG29" s="22">
        <v>90</v>
      </c>
      <c r="AH29" s="22">
        <v>88</v>
      </c>
      <c r="AI29" s="22">
        <v>104</v>
      </c>
      <c r="AJ29" s="22">
        <v>112</v>
      </c>
      <c r="AK29" s="22">
        <v>100</v>
      </c>
      <c r="AL29" s="22">
        <v>107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  <c r="IW29" s="52"/>
      <c r="IX29" s="52"/>
      <c r="IY29" s="52"/>
      <c r="IZ29" s="52"/>
      <c r="JA29" s="52"/>
      <c r="JB29" s="52"/>
      <c r="JC29" s="52"/>
      <c r="JD29" s="52"/>
      <c r="JE29" s="52"/>
      <c r="JF29" s="52"/>
    </row>
    <row r="30" spans="1:266" s="24" customFormat="1" x14ac:dyDescent="0.2">
      <c r="A30" s="22" t="s">
        <v>34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f t="shared" si="5"/>
        <v>0</v>
      </c>
      <c r="P30" s="6">
        <f t="shared" si="6"/>
        <v>0</v>
      </c>
      <c r="Q30" s="6">
        <f t="shared" si="7"/>
        <v>0</v>
      </c>
      <c r="R30" s="22">
        <f t="shared" si="9"/>
        <v>0</v>
      </c>
      <c r="S30" s="22">
        <f t="shared" si="10"/>
        <v>0</v>
      </c>
      <c r="T30" s="22">
        <f t="shared" si="4"/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6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</row>
    <row r="31" spans="1:266" s="24" customFormat="1" x14ac:dyDescent="0.2">
      <c r="A31" s="22" t="s">
        <v>35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f t="shared" si="5"/>
        <v>0</v>
      </c>
      <c r="P31" s="6">
        <f t="shared" si="6"/>
        <v>0</v>
      </c>
      <c r="Q31" s="6">
        <f t="shared" si="7"/>
        <v>0</v>
      </c>
      <c r="R31" s="22">
        <f t="shared" si="9"/>
        <v>0</v>
      </c>
      <c r="S31" s="22">
        <f t="shared" si="10"/>
        <v>0</v>
      </c>
      <c r="T31" s="22">
        <f t="shared" si="4"/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6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</row>
    <row r="32" spans="1:266" s="45" customFormat="1" x14ac:dyDescent="0.2">
      <c r="A32" s="6" t="s">
        <v>59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f t="shared" si="5"/>
        <v>0</v>
      </c>
      <c r="P32" s="6">
        <f t="shared" si="6"/>
        <v>0</v>
      </c>
      <c r="Q32" s="6">
        <f t="shared" si="7"/>
        <v>0</v>
      </c>
      <c r="R32" s="6">
        <f t="shared" si="9"/>
        <v>0</v>
      </c>
      <c r="S32" s="6">
        <f t="shared" si="10"/>
        <v>0</v>
      </c>
      <c r="T32" s="6">
        <f t="shared" si="4"/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</row>
    <row r="33" spans="1:266" s="26" customFormat="1" x14ac:dyDescent="0.2">
      <c r="A33" s="20" t="s">
        <v>143</v>
      </c>
      <c r="B33" s="6">
        <v>11</v>
      </c>
      <c r="C33" s="6">
        <v>0</v>
      </c>
      <c r="D33" s="6">
        <v>2</v>
      </c>
      <c r="E33" s="6">
        <v>4</v>
      </c>
      <c r="F33" s="6">
        <v>0</v>
      </c>
      <c r="G33" s="6">
        <v>1</v>
      </c>
      <c r="H33" s="6">
        <v>4</v>
      </c>
      <c r="I33" s="6">
        <v>0</v>
      </c>
      <c r="J33" s="6">
        <v>0</v>
      </c>
      <c r="K33" s="6">
        <v>0</v>
      </c>
      <c r="L33" s="6">
        <v>0</v>
      </c>
      <c r="M33" s="6">
        <v>4</v>
      </c>
      <c r="N33" s="6">
        <v>7</v>
      </c>
      <c r="O33" s="6">
        <f t="shared" si="5"/>
        <v>11</v>
      </c>
      <c r="P33" s="6">
        <v>11</v>
      </c>
      <c r="Q33" s="6">
        <v>11</v>
      </c>
      <c r="R33" s="22">
        <f t="shared" si="9"/>
        <v>11</v>
      </c>
      <c r="S33" s="22">
        <f t="shared" si="10"/>
        <v>11</v>
      </c>
      <c r="T33" s="22">
        <f t="shared" si="4"/>
        <v>11</v>
      </c>
      <c r="U33" s="22">
        <v>17</v>
      </c>
      <c r="V33" s="22">
        <v>17</v>
      </c>
      <c r="W33" s="22">
        <v>17</v>
      </c>
      <c r="X33" s="22">
        <v>15</v>
      </c>
      <c r="Y33" s="22">
        <v>17</v>
      </c>
      <c r="Z33" s="22">
        <v>15</v>
      </c>
      <c r="AA33" s="22">
        <v>10</v>
      </c>
      <c r="AB33" s="22">
        <v>10</v>
      </c>
      <c r="AC33" s="6">
        <v>17</v>
      </c>
      <c r="AD33" s="22">
        <v>17</v>
      </c>
      <c r="AE33" s="22">
        <v>17</v>
      </c>
      <c r="AF33" s="22">
        <v>17</v>
      </c>
      <c r="AG33" s="22">
        <v>17</v>
      </c>
      <c r="AH33" s="22">
        <v>15</v>
      </c>
      <c r="AI33" s="22">
        <v>17</v>
      </c>
      <c r="AJ33" s="22">
        <v>15</v>
      </c>
      <c r="AK33" s="22">
        <v>10</v>
      </c>
      <c r="AL33" s="22">
        <v>10</v>
      </c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  <c r="IW33" s="51"/>
      <c r="IX33" s="51"/>
      <c r="IY33" s="51"/>
      <c r="IZ33" s="51"/>
      <c r="JA33" s="51"/>
      <c r="JB33" s="51"/>
      <c r="JC33" s="51"/>
      <c r="JD33" s="51"/>
      <c r="JE33" s="51"/>
      <c r="JF33" s="51"/>
    </row>
    <row r="34" spans="1:266" s="14" customFormat="1" x14ac:dyDescent="0.2">
      <c r="A34" s="6" t="s">
        <v>119</v>
      </c>
      <c r="B34" s="6">
        <v>4</v>
      </c>
      <c r="C34" s="6">
        <v>0</v>
      </c>
      <c r="D34" s="6">
        <v>2</v>
      </c>
      <c r="E34" s="6">
        <v>0</v>
      </c>
      <c r="F34" s="6">
        <v>0</v>
      </c>
      <c r="G34" s="6">
        <v>1</v>
      </c>
      <c r="H34" s="6">
        <v>0</v>
      </c>
      <c r="I34" s="6">
        <v>1</v>
      </c>
      <c r="J34" s="6">
        <v>0</v>
      </c>
      <c r="K34" s="6">
        <v>0</v>
      </c>
      <c r="L34" s="6">
        <v>0</v>
      </c>
      <c r="M34" s="6">
        <v>2</v>
      </c>
      <c r="N34" s="6">
        <v>2</v>
      </c>
      <c r="O34" s="6">
        <f t="shared" si="5"/>
        <v>4</v>
      </c>
      <c r="P34" s="6">
        <f t="shared" si="6"/>
        <v>4</v>
      </c>
      <c r="Q34" s="6">
        <f t="shared" si="7"/>
        <v>4</v>
      </c>
      <c r="R34" s="6">
        <f t="shared" si="9"/>
        <v>4</v>
      </c>
      <c r="S34" s="6">
        <f t="shared" si="10"/>
        <v>4</v>
      </c>
      <c r="T34" s="6">
        <v>4</v>
      </c>
      <c r="U34" s="6">
        <v>4</v>
      </c>
      <c r="V34" s="6">
        <v>4</v>
      </c>
      <c r="W34" s="6">
        <v>4</v>
      </c>
      <c r="X34" s="6">
        <v>2</v>
      </c>
      <c r="Y34" s="6">
        <v>7</v>
      </c>
      <c r="Z34" s="6">
        <v>1</v>
      </c>
      <c r="AA34" s="6">
        <v>1</v>
      </c>
      <c r="AB34" s="6">
        <v>1</v>
      </c>
      <c r="AC34" s="6">
        <v>4</v>
      </c>
      <c r="AD34" s="22">
        <v>4</v>
      </c>
      <c r="AE34" s="22">
        <v>4</v>
      </c>
      <c r="AF34" s="22">
        <v>4</v>
      </c>
      <c r="AG34" s="22">
        <v>4</v>
      </c>
      <c r="AH34" s="22">
        <v>2</v>
      </c>
      <c r="AI34" s="22">
        <v>7</v>
      </c>
      <c r="AJ34" s="22">
        <v>1</v>
      </c>
      <c r="AK34" s="22">
        <v>1</v>
      </c>
      <c r="AL34" s="22">
        <v>1</v>
      </c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</row>
    <row r="35" spans="1:266" s="26" customFormat="1" x14ac:dyDescent="0.2">
      <c r="A35" s="6" t="s">
        <v>36</v>
      </c>
      <c r="B35" s="6">
        <v>5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5</v>
      </c>
      <c r="I35" s="6">
        <v>0</v>
      </c>
      <c r="J35" s="6">
        <v>0</v>
      </c>
      <c r="K35" s="6">
        <v>0</v>
      </c>
      <c r="L35" s="6">
        <v>0</v>
      </c>
      <c r="M35" s="6">
        <v>2</v>
      </c>
      <c r="N35" s="6">
        <v>3</v>
      </c>
      <c r="O35" s="6">
        <v>5</v>
      </c>
      <c r="P35" s="6">
        <v>5</v>
      </c>
      <c r="Q35" s="6">
        <v>5</v>
      </c>
      <c r="R35" s="22">
        <v>5</v>
      </c>
      <c r="S35" s="22">
        <f t="shared" si="10"/>
        <v>5</v>
      </c>
      <c r="T35" s="22">
        <f t="shared" si="4"/>
        <v>5</v>
      </c>
      <c r="U35" s="22">
        <v>7</v>
      </c>
      <c r="V35" s="22">
        <v>7</v>
      </c>
      <c r="W35" s="22">
        <v>7</v>
      </c>
      <c r="X35" s="22">
        <v>11</v>
      </c>
      <c r="Y35" s="22">
        <v>8</v>
      </c>
      <c r="Z35" s="22">
        <v>8</v>
      </c>
      <c r="AA35" s="22"/>
      <c r="AB35" s="22">
        <v>0</v>
      </c>
      <c r="AC35" s="6">
        <v>5</v>
      </c>
      <c r="AD35" s="22">
        <v>5</v>
      </c>
      <c r="AE35" s="22">
        <v>7</v>
      </c>
      <c r="AF35" s="22">
        <v>7</v>
      </c>
      <c r="AG35" s="22">
        <v>7</v>
      </c>
      <c r="AH35" s="22">
        <v>11</v>
      </c>
      <c r="AI35" s="22">
        <v>8</v>
      </c>
      <c r="AJ35" s="22">
        <v>8</v>
      </c>
      <c r="AK35" s="22"/>
      <c r="AL35" s="22">
        <v>0</v>
      </c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  <c r="IW35" s="51"/>
      <c r="IX35" s="51"/>
      <c r="IY35" s="51"/>
      <c r="IZ35" s="51"/>
      <c r="JA35" s="51"/>
      <c r="JB35" s="51"/>
      <c r="JC35" s="51"/>
      <c r="JD35" s="51"/>
      <c r="JE35" s="51"/>
      <c r="JF35" s="51"/>
    </row>
    <row r="36" spans="1:266" s="50" customFormat="1" x14ac:dyDescent="0.2">
      <c r="A36" s="22" t="s">
        <v>164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22">
        <f>SUM(B36:C36)</f>
        <v>0</v>
      </c>
      <c r="S36" s="22">
        <f>SUM(D36:L36)</f>
        <v>0</v>
      </c>
      <c r="T36" s="22">
        <f>SUM(M36:N36)</f>
        <v>0</v>
      </c>
      <c r="U36" s="22">
        <v>2</v>
      </c>
      <c r="V36" s="22">
        <v>2</v>
      </c>
      <c r="W36" s="22">
        <v>2</v>
      </c>
      <c r="X36" s="22">
        <v>2</v>
      </c>
      <c r="Y36" s="22">
        <v>4</v>
      </c>
      <c r="Z36" s="22">
        <v>5</v>
      </c>
      <c r="AA36" s="22">
        <v>5</v>
      </c>
      <c r="AB36" s="22">
        <v>5</v>
      </c>
      <c r="AC36" s="6">
        <v>2</v>
      </c>
      <c r="AD36" s="22">
        <v>0</v>
      </c>
      <c r="AE36" s="22">
        <v>2</v>
      </c>
      <c r="AF36" s="22">
        <v>2</v>
      </c>
      <c r="AG36" s="22">
        <v>2</v>
      </c>
      <c r="AH36" s="22">
        <v>2</v>
      </c>
      <c r="AI36" s="22">
        <v>4</v>
      </c>
      <c r="AJ36" s="22">
        <v>5</v>
      </c>
      <c r="AK36" s="22">
        <v>5</v>
      </c>
      <c r="AL36" s="22">
        <v>5</v>
      </c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</row>
    <row r="37" spans="1:266" s="58" customFormat="1" x14ac:dyDescent="0.2">
      <c r="A37" s="11" t="s">
        <v>37</v>
      </c>
      <c r="B37" s="11">
        <f>SUBTOTAL(109,Table2[Column2])</f>
        <v>196</v>
      </c>
      <c r="C37" s="11">
        <f>SUBTOTAL(109,Table2[Column3])</f>
        <v>57</v>
      </c>
      <c r="D37" s="11">
        <f>SUBTOTAL(109,Table2[Column4])</f>
        <v>75.5</v>
      </c>
      <c r="E37" s="11">
        <f>SUBTOTAL(109,Table2[Column5])</f>
        <v>35</v>
      </c>
      <c r="F37" s="11">
        <f>SUBTOTAL(109,Table2[Column6])</f>
        <v>0</v>
      </c>
      <c r="G37" s="11">
        <f>SUBTOTAL(109,Table2[Column7])</f>
        <v>18.5</v>
      </c>
      <c r="H37" s="11">
        <f>SUBTOTAL(109,Table2[Column8])</f>
        <v>21</v>
      </c>
      <c r="I37" s="11">
        <f>SUBTOTAL(109,Table2[Column9])</f>
        <v>26</v>
      </c>
      <c r="J37" s="11">
        <f>SUBTOTAL(109,Table2[Column10])</f>
        <v>32</v>
      </c>
      <c r="K37" s="11">
        <f>SUBTOTAL(109,Table2[Column102])</f>
        <v>9</v>
      </c>
      <c r="L37" s="11">
        <f>SUBTOTAL(109,Table2[Column11])</f>
        <v>36</v>
      </c>
      <c r="M37" s="11">
        <f>SUBTOTAL(109,Table2[Column12])</f>
        <v>105</v>
      </c>
      <c r="N37" s="11">
        <f>SUBTOTAL(109,Table2[Column13])</f>
        <v>148</v>
      </c>
      <c r="O37" s="11">
        <f>SUBTOTAL(109,Table2[Column137])</f>
        <v>253</v>
      </c>
      <c r="P37" s="11">
        <f>SUBTOTAL(109,Table2[Column136])</f>
        <v>253</v>
      </c>
      <c r="Q37" s="11">
        <f>SUBTOTAL(109,Table2[Column133])</f>
        <v>253</v>
      </c>
      <c r="R37" s="27">
        <f>SUBTOTAL(109,R5:R35)</f>
        <v>211</v>
      </c>
      <c r="S37" s="27">
        <f>SUBTOTAL(109,S5:S35)</f>
        <v>241</v>
      </c>
      <c r="T37" s="27">
        <f>SUBTOTAL(109,T5:T35)</f>
        <v>264</v>
      </c>
      <c r="U37" s="27">
        <v>332</v>
      </c>
      <c r="V37" s="27">
        <v>332</v>
      </c>
      <c r="W37" s="27">
        <v>332</v>
      </c>
      <c r="X37" s="27">
        <f>SUM(X5:X35)</f>
        <v>337</v>
      </c>
      <c r="Y37" s="27">
        <f>SUM(Y5:Y35)</f>
        <v>345</v>
      </c>
      <c r="Z37" s="27">
        <v>379</v>
      </c>
      <c r="AA37" s="27">
        <f>SUM(AA5:AA35)</f>
        <v>352</v>
      </c>
      <c r="AB37" s="27">
        <f>SUM(AB5:AB35)</f>
        <v>371</v>
      </c>
      <c r="AC37" s="11">
        <f>SUBTOTAL(109,Table2[Column213])</f>
        <v>286</v>
      </c>
      <c r="AD37" s="27">
        <v>300</v>
      </c>
      <c r="AE37" s="27">
        <v>332</v>
      </c>
      <c r="AF37" s="27">
        <v>332</v>
      </c>
      <c r="AG37" s="27">
        <v>332</v>
      </c>
      <c r="AH37" s="27">
        <v>341</v>
      </c>
      <c r="AI37" s="27">
        <v>349</v>
      </c>
      <c r="AJ37" s="27">
        <v>379</v>
      </c>
      <c r="AK37" s="27">
        <v>357</v>
      </c>
      <c r="AL37" s="27">
        <v>376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/>
      <c r="IY37" s="27"/>
      <c r="IZ37" s="27"/>
      <c r="JA37" s="27"/>
      <c r="JB37" s="27"/>
      <c r="JC37" s="27"/>
      <c r="JD37" s="27"/>
      <c r="JE37" s="27"/>
      <c r="JF37" s="27"/>
    </row>
    <row r="39" spans="1:266" x14ac:dyDescent="0.2">
      <c r="A39" t="s">
        <v>62</v>
      </c>
      <c r="N39" s="37"/>
    </row>
    <row r="40" spans="1:266" x14ac:dyDescent="0.2">
      <c r="A40" t="s">
        <v>44</v>
      </c>
    </row>
    <row r="41" spans="1:266" x14ac:dyDescent="0.2">
      <c r="A41" t="s">
        <v>45</v>
      </c>
    </row>
    <row r="42" spans="1:266" x14ac:dyDescent="0.2">
      <c r="A42" s="32" t="s">
        <v>128</v>
      </c>
    </row>
    <row r="45" spans="1:266" x14ac:dyDescent="0.2">
      <c r="A45" s="97" t="s">
        <v>63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</row>
    <row r="46" spans="1:266" x14ac:dyDescent="0.2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</row>
    <row r="47" spans="1:266" x14ac:dyDescent="0.2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</row>
    <row r="48" spans="1:266" ht="8.25" customHeight="1" x14ac:dyDescent="0.2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</row>
    <row r="49" spans="1:23" hidden="1" x14ac:dyDescent="0.2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</row>
    <row r="50" spans="1:23" hidden="1" x14ac:dyDescent="0.2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</row>
    <row r="51" spans="1:23" hidden="1" x14ac:dyDescent="0.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</row>
    <row r="52" spans="1:23" hidden="1" x14ac:dyDescent="0.2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</row>
  </sheetData>
  <sheetProtection algorithmName="SHA-512" hashValue="3qyXeNxGdndrtYbFkv9sApEH/d2K0K1UjAyujSpf2N1IsvVmsGircT7vLW9s+h3gf+oNse9rSXrfun7tJeyYtw==" saltValue="8CJ/+qfnsro40exO8x/2Kw==" spinCount="100000" sheet="1" objects="1" scenarios="1" sort="0"/>
  <mergeCells count="1">
    <mergeCell ref="A45:W52"/>
  </mergeCells>
  <pageMargins left="0.25" right="0.25" top="0.75" bottom="0.75" header="0.3" footer="0.3"/>
  <pageSetup paperSize="9" scale="41" firstPageNumber="0" fitToHeight="0" orientation="landscape" horizontalDpi="300" verticalDpi="30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zoomScale="70" zoomScaleNormal="70" workbookViewId="0">
      <pane xSplit="1" topLeftCell="B1" activePane="topRight" state="frozen"/>
      <selection pane="topRight" activeCell="H15" sqref="H15"/>
    </sheetView>
  </sheetViews>
  <sheetFormatPr defaultColWidth="8.85546875" defaultRowHeight="12.75" x14ac:dyDescent="0.2"/>
  <cols>
    <col min="1" max="1" width="62.42578125" style="22" customWidth="1"/>
    <col min="2" max="12" width="10.42578125" style="22" customWidth="1"/>
    <col min="13" max="17" width="11.42578125" style="22" customWidth="1"/>
    <col min="18" max="24" width="0" style="22" hidden="1" customWidth="1"/>
    <col min="25" max="16384" width="8.85546875" style="22"/>
  </cols>
  <sheetData>
    <row r="1" spans="1:24" x14ac:dyDescent="0.2">
      <c r="A1" s="27" t="s">
        <v>0</v>
      </c>
      <c r="B1" s="27"/>
      <c r="C1" s="27"/>
      <c r="D1" s="27"/>
      <c r="E1" s="27" t="s">
        <v>172</v>
      </c>
      <c r="F1" s="27"/>
      <c r="G1" s="27"/>
      <c r="H1" s="27"/>
      <c r="I1" s="27"/>
      <c r="J1" s="27"/>
      <c r="K1" s="27" t="s">
        <v>46</v>
      </c>
      <c r="L1" s="27" t="s">
        <v>46</v>
      </c>
      <c r="M1" s="27"/>
      <c r="N1" s="27"/>
      <c r="O1" s="27"/>
      <c r="P1" s="27"/>
      <c r="Q1" s="27"/>
    </row>
    <row r="2" spans="1:24" x14ac:dyDescent="0.2">
      <c r="A2" s="27" t="s">
        <v>2</v>
      </c>
      <c r="B2" s="27" t="s">
        <v>47</v>
      </c>
      <c r="C2" s="27"/>
      <c r="D2" s="27"/>
      <c r="E2" s="27"/>
      <c r="F2" s="27"/>
      <c r="G2" s="27"/>
      <c r="H2" s="27"/>
      <c r="I2" s="27">
        <v>2017</v>
      </c>
      <c r="J2" s="27">
        <v>2016</v>
      </c>
      <c r="K2" s="27">
        <v>2015</v>
      </c>
      <c r="L2" s="27">
        <v>2014</v>
      </c>
      <c r="M2" s="27">
        <v>2013</v>
      </c>
      <c r="N2" s="27">
        <v>2012</v>
      </c>
      <c r="O2" s="27">
        <v>2011</v>
      </c>
      <c r="P2" s="27">
        <v>2010</v>
      </c>
      <c r="Q2" s="27">
        <v>2009</v>
      </c>
      <c r="R2" s="22">
        <v>2015</v>
      </c>
      <c r="S2" s="22">
        <v>2014</v>
      </c>
      <c r="T2" s="22">
        <v>2013</v>
      </c>
      <c r="U2" s="22">
        <v>2012</v>
      </c>
      <c r="V2" s="22">
        <v>2011</v>
      </c>
      <c r="W2" s="22">
        <v>2010</v>
      </c>
      <c r="X2" s="22">
        <v>2009</v>
      </c>
    </row>
    <row r="3" spans="1:24" x14ac:dyDescent="0.2">
      <c r="A3" s="27"/>
      <c r="B3" s="11" t="s">
        <v>48</v>
      </c>
      <c r="C3" s="11" t="s">
        <v>49</v>
      </c>
      <c r="D3" s="11" t="s">
        <v>50</v>
      </c>
      <c r="E3" s="11" t="s">
        <v>51</v>
      </c>
      <c r="F3" s="11" t="s">
        <v>52</v>
      </c>
      <c r="G3" s="11" t="s">
        <v>53</v>
      </c>
      <c r="H3" s="11" t="s">
        <v>15</v>
      </c>
      <c r="I3" s="11" t="s">
        <v>43</v>
      </c>
      <c r="J3" s="27" t="s">
        <v>43</v>
      </c>
      <c r="K3" s="27" t="s">
        <v>22</v>
      </c>
      <c r="L3" s="27" t="s">
        <v>22</v>
      </c>
      <c r="M3" s="27" t="s">
        <v>43</v>
      </c>
      <c r="N3" s="27" t="s">
        <v>43</v>
      </c>
      <c r="O3" s="27" t="s">
        <v>22</v>
      </c>
      <c r="P3" s="27" t="s">
        <v>22</v>
      </c>
      <c r="Q3" s="27" t="s">
        <v>22</v>
      </c>
      <c r="R3" s="22" t="s">
        <v>22</v>
      </c>
      <c r="S3" s="22" t="s">
        <v>22</v>
      </c>
      <c r="T3" s="22" t="s">
        <v>43</v>
      </c>
      <c r="U3" s="22" t="s">
        <v>43</v>
      </c>
      <c r="V3" s="22" t="s">
        <v>22</v>
      </c>
      <c r="W3" s="22" t="s">
        <v>22</v>
      </c>
      <c r="X3" s="22" t="s">
        <v>22</v>
      </c>
    </row>
    <row r="4" spans="1:24" hidden="1" x14ac:dyDescent="0.2">
      <c r="A4" s="22" t="s">
        <v>82</v>
      </c>
      <c r="B4" s="38" t="s">
        <v>83</v>
      </c>
      <c r="C4" s="38" t="s">
        <v>84</v>
      </c>
      <c r="D4" s="38" t="s">
        <v>85</v>
      </c>
      <c r="E4" s="38" t="s">
        <v>86</v>
      </c>
      <c r="F4" s="38" t="s">
        <v>87</v>
      </c>
      <c r="G4" s="38" t="s">
        <v>88</v>
      </c>
      <c r="H4" s="38" t="s">
        <v>89</v>
      </c>
      <c r="I4" s="38" t="s">
        <v>139</v>
      </c>
      <c r="J4" s="22" t="s">
        <v>170</v>
      </c>
      <c r="K4" s="22" t="s">
        <v>90</v>
      </c>
      <c r="L4" s="22" t="s">
        <v>113</v>
      </c>
      <c r="M4" s="22" t="s">
        <v>91</v>
      </c>
      <c r="N4" s="22" t="s">
        <v>92</v>
      </c>
      <c r="O4" s="22" t="s">
        <v>93</v>
      </c>
      <c r="P4" s="22" t="s">
        <v>94</v>
      </c>
      <c r="Q4" s="22" t="s">
        <v>95</v>
      </c>
      <c r="R4" s="22" t="s">
        <v>96</v>
      </c>
      <c r="S4" s="22" t="s">
        <v>97</v>
      </c>
      <c r="T4" s="22" t="s">
        <v>98</v>
      </c>
      <c r="U4" s="22" t="s">
        <v>99</v>
      </c>
      <c r="V4" s="22" t="s">
        <v>100</v>
      </c>
      <c r="W4" s="22" t="s">
        <v>101</v>
      </c>
      <c r="X4" s="22" t="s">
        <v>102</v>
      </c>
    </row>
    <row r="5" spans="1:24" x14ac:dyDescent="0.2">
      <c r="A5" s="6" t="s">
        <v>24</v>
      </c>
      <c r="B5" s="6" t="s">
        <v>177</v>
      </c>
      <c r="C5" s="6" t="s">
        <v>177</v>
      </c>
      <c r="D5" s="6" t="s">
        <v>177</v>
      </c>
      <c r="E5" s="6" t="s">
        <v>177</v>
      </c>
      <c r="F5" s="6" t="s">
        <v>177</v>
      </c>
      <c r="G5" s="6" t="s">
        <v>177</v>
      </c>
      <c r="H5" s="6" t="s">
        <v>177</v>
      </c>
      <c r="I5" s="6" t="s">
        <v>177</v>
      </c>
      <c r="J5" s="6" t="s">
        <v>166</v>
      </c>
      <c r="K5" s="22">
        <v>2</v>
      </c>
      <c r="L5" s="22">
        <v>2</v>
      </c>
      <c r="M5" s="22">
        <v>1</v>
      </c>
      <c r="N5" s="22">
        <v>2</v>
      </c>
      <c r="O5" s="22">
        <v>2</v>
      </c>
      <c r="P5" s="22">
        <v>3</v>
      </c>
      <c r="Q5" s="22">
        <v>3</v>
      </c>
      <c r="R5" s="22">
        <v>2</v>
      </c>
      <c r="S5" s="22">
        <v>2</v>
      </c>
      <c r="T5" s="22">
        <v>1</v>
      </c>
      <c r="U5" s="22">
        <v>2</v>
      </c>
      <c r="V5" s="22">
        <v>2</v>
      </c>
      <c r="W5" s="22">
        <v>3</v>
      </c>
      <c r="X5" s="22">
        <v>3</v>
      </c>
    </row>
    <row r="6" spans="1:24" x14ac:dyDescent="0.2">
      <c r="A6" s="6" t="s">
        <v>25</v>
      </c>
      <c r="B6" s="6">
        <v>95</v>
      </c>
      <c r="C6" s="6">
        <v>23</v>
      </c>
      <c r="D6" s="6">
        <v>4</v>
      </c>
      <c r="E6" s="6">
        <v>2</v>
      </c>
      <c r="F6" s="6">
        <v>0</v>
      </c>
      <c r="G6" s="6">
        <v>83</v>
      </c>
      <c r="H6" s="6">
        <v>0</v>
      </c>
      <c r="I6" s="6">
        <f t="shared" ref="I6:I35" si="0">SUM(A6:G6)</f>
        <v>207</v>
      </c>
      <c r="J6" s="6">
        <v>205</v>
      </c>
      <c r="K6" s="22">
        <v>208</v>
      </c>
      <c r="L6" s="22">
        <v>229</v>
      </c>
      <c r="M6" s="22">
        <v>238</v>
      </c>
      <c r="N6" s="22">
        <v>235</v>
      </c>
      <c r="O6" s="22">
        <v>247</v>
      </c>
      <c r="P6" s="22">
        <v>264</v>
      </c>
      <c r="Q6" s="22">
        <v>335</v>
      </c>
      <c r="R6" s="22">
        <v>208</v>
      </c>
      <c r="S6" s="22">
        <v>229</v>
      </c>
      <c r="T6" s="22">
        <v>238</v>
      </c>
      <c r="U6" s="22">
        <v>235</v>
      </c>
      <c r="V6" s="22">
        <v>247</v>
      </c>
      <c r="W6" s="22">
        <v>264</v>
      </c>
      <c r="X6" s="22">
        <v>335</v>
      </c>
    </row>
    <row r="7" spans="1:24" x14ac:dyDescent="0.2">
      <c r="A7" s="6" t="s">
        <v>161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f t="shared" si="0"/>
        <v>0</v>
      </c>
      <c r="J7" s="6">
        <v>0</v>
      </c>
      <c r="K7" s="22">
        <v>0</v>
      </c>
      <c r="L7" s="22">
        <v>0</v>
      </c>
      <c r="M7" s="22">
        <v>0</v>
      </c>
      <c r="N7" s="22">
        <v>2</v>
      </c>
      <c r="O7" s="22">
        <v>2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2</v>
      </c>
      <c r="V7" s="22">
        <v>2</v>
      </c>
      <c r="W7" s="22">
        <v>0</v>
      </c>
      <c r="X7" s="22">
        <v>0</v>
      </c>
    </row>
    <row r="8" spans="1:24" x14ac:dyDescent="0.2">
      <c r="A8" s="22" t="s">
        <v>162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f t="shared" si="0"/>
        <v>0</v>
      </c>
      <c r="J8" s="6">
        <v>1</v>
      </c>
      <c r="K8" s="22">
        <v>1</v>
      </c>
      <c r="L8" s="22">
        <v>2</v>
      </c>
      <c r="M8" s="22">
        <v>1</v>
      </c>
      <c r="N8" s="22">
        <v>0</v>
      </c>
      <c r="O8" s="22">
        <v>0</v>
      </c>
      <c r="P8" s="22">
        <v>0</v>
      </c>
      <c r="Q8" s="22">
        <v>0</v>
      </c>
      <c r="R8" s="22">
        <v>1</v>
      </c>
      <c r="S8" s="22">
        <v>2</v>
      </c>
      <c r="T8" s="22">
        <v>1</v>
      </c>
      <c r="U8" s="22">
        <v>0</v>
      </c>
      <c r="V8" s="22">
        <v>0</v>
      </c>
      <c r="W8" s="22">
        <v>0</v>
      </c>
      <c r="X8" s="22">
        <v>0</v>
      </c>
    </row>
    <row r="9" spans="1:24" x14ac:dyDescent="0.2">
      <c r="A9" s="6" t="s">
        <v>163</v>
      </c>
      <c r="B9" s="6">
        <v>2</v>
      </c>
      <c r="C9" s="6">
        <v>3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f t="shared" si="0"/>
        <v>5</v>
      </c>
      <c r="J9" s="6">
        <v>5</v>
      </c>
      <c r="K9" s="22">
        <v>4</v>
      </c>
      <c r="L9" s="22">
        <v>5</v>
      </c>
      <c r="M9" s="22">
        <v>5</v>
      </c>
      <c r="N9" s="22">
        <v>6</v>
      </c>
      <c r="O9" s="22">
        <v>6</v>
      </c>
      <c r="P9" s="22">
        <v>6</v>
      </c>
      <c r="Q9" s="22">
        <v>6</v>
      </c>
      <c r="R9" s="22">
        <v>4</v>
      </c>
      <c r="S9" s="22">
        <v>5</v>
      </c>
      <c r="T9" s="22">
        <v>5</v>
      </c>
      <c r="U9" s="22">
        <v>6</v>
      </c>
      <c r="V9" s="22">
        <v>6</v>
      </c>
      <c r="W9" s="22">
        <v>6</v>
      </c>
      <c r="X9" s="22">
        <v>6</v>
      </c>
    </row>
    <row r="10" spans="1:24" x14ac:dyDescent="0.2">
      <c r="A10" s="6" t="s">
        <v>126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f t="shared" si="0"/>
        <v>0</v>
      </c>
      <c r="J10" s="6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</row>
    <row r="11" spans="1:24" x14ac:dyDescent="0.2">
      <c r="A11" s="6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f t="shared" si="0"/>
        <v>0</v>
      </c>
      <c r="J11" s="6">
        <v>20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</row>
    <row r="12" spans="1:24" ht="12" customHeight="1" x14ac:dyDescent="0.2">
      <c r="A12" s="6" t="s">
        <v>27</v>
      </c>
      <c r="B12" s="6">
        <v>1</v>
      </c>
      <c r="C12" s="6">
        <v>1</v>
      </c>
      <c r="D12" s="6">
        <v>0</v>
      </c>
      <c r="E12" s="6">
        <v>0</v>
      </c>
      <c r="F12" s="6">
        <v>1</v>
      </c>
      <c r="G12" s="6">
        <v>9</v>
      </c>
      <c r="H12" s="6">
        <v>0</v>
      </c>
      <c r="I12" s="6">
        <f t="shared" si="0"/>
        <v>12</v>
      </c>
      <c r="J12" s="6">
        <v>12</v>
      </c>
      <c r="K12" s="22">
        <v>12</v>
      </c>
      <c r="L12" s="22">
        <v>11</v>
      </c>
      <c r="M12" s="22">
        <v>11</v>
      </c>
      <c r="N12" s="22">
        <v>12</v>
      </c>
      <c r="O12" s="22">
        <v>13</v>
      </c>
      <c r="P12" s="22">
        <v>13</v>
      </c>
      <c r="Q12" s="22">
        <v>13</v>
      </c>
      <c r="R12" s="22">
        <v>12</v>
      </c>
      <c r="S12" s="22">
        <v>11</v>
      </c>
      <c r="T12" s="22">
        <v>11</v>
      </c>
      <c r="U12" s="22">
        <v>12</v>
      </c>
      <c r="V12" s="22">
        <v>13</v>
      </c>
      <c r="W12" s="22">
        <v>13</v>
      </c>
      <c r="X12" s="22">
        <v>13</v>
      </c>
    </row>
    <row r="13" spans="1:24" x14ac:dyDescent="0.2">
      <c r="A13" s="6" t="s">
        <v>71</v>
      </c>
      <c r="B13" s="6">
        <v>35</v>
      </c>
      <c r="C13" s="6">
        <v>3</v>
      </c>
      <c r="D13" s="6">
        <v>0</v>
      </c>
      <c r="E13" s="6">
        <v>0</v>
      </c>
      <c r="F13" s="6">
        <v>0</v>
      </c>
      <c r="G13" s="6">
        <v>3</v>
      </c>
      <c r="H13" s="6">
        <v>0</v>
      </c>
      <c r="I13" s="6">
        <f t="shared" si="0"/>
        <v>41</v>
      </c>
      <c r="J13" s="6">
        <v>44</v>
      </c>
      <c r="K13" s="22">
        <v>43</v>
      </c>
      <c r="L13" s="22">
        <v>46</v>
      </c>
      <c r="M13" s="22">
        <v>41</v>
      </c>
      <c r="N13" s="22">
        <v>33</v>
      </c>
      <c r="O13" s="22">
        <v>39</v>
      </c>
      <c r="P13" s="22">
        <v>41</v>
      </c>
      <c r="Q13" s="22">
        <v>39</v>
      </c>
      <c r="R13" s="22">
        <v>43</v>
      </c>
      <c r="S13" s="22">
        <v>46</v>
      </c>
      <c r="T13" s="22">
        <v>41</v>
      </c>
      <c r="U13" s="22">
        <v>33</v>
      </c>
      <c r="V13" s="22">
        <v>39</v>
      </c>
      <c r="W13" s="22">
        <v>41</v>
      </c>
      <c r="X13" s="22">
        <v>39</v>
      </c>
    </row>
    <row r="14" spans="1:24" x14ac:dyDescent="0.2">
      <c r="A14" s="6" t="s">
        <v>118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f t="shared" si="0"/>
        <v>0</v>
      </c>
      <c r="J14" s="6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</row>
    <row r="15" spans="1:24" x14ac:dyDescent="0.2">
      <c r="A15" s="6" t="s">
        <v>74</v>
      </c>
      <c r="B15" s="6">
        <v>6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f t="shared" si="0"/>
        <v>7</v>
      </c>
      <c r="J15" s="6">
        <v>5</v>
      </c>
      <c r="K15" s="22">
        <v>8</v>
      </c>
      <c r="L15" s="22">
        <v>12</v>
      </c>
      <c r="M15" s="22">
        <v>12</v>
      </c>
      <c r="N15" s="22">
        <v>7</v>
      </c>
      <c r="O15" s="22">
        <v>9</v>
      </c>
      <c r="P15" s="22">
        <v>9</v>
      </c>
      <c r="Q15" s="22">
        <v>9</v>
      </c>
      <c r="R15" s="22">
        <v>8</v>
      </c>
      <c r="S15" s="22">
        <v>12</v>
      </c>
      <c r="T15" s="22">
        <v>12</v>
      </c>
      <c r="U15" s="22">
        <v>7</v>
      </c>
      <c r="V15" s="22">
        <v>9</v>
      </c>
      <c r="W15" s="22">
        <v>9</v>
      </c>
      <c r="X15" s="22">
        <v>9</v>
      </c>
    </row>
    <row r="16" spans="1:24" x14ac:dyDescent="0.2">
      <c r="A16" s="6" t="s">
        <v>80</v>
      </c>
      <c r="B16" s="6">
        <v>1</v>
      </c>
      <c r="C16" s="6">
        <v>0</v>
      </c>
      <c r="D16" s="6">
        <v>2</v>
      </c>
      <c r="E16" s="6">
        <v>0</v>
      </c>
      <c r="F16" s="6">
        <v>0</v>
      </c>
      <c r="G16" s="6">
        <v>2</v>
      </c>
      <c r="H16" s="6">
        <v>0</v>
      </c>
      <c r="I16" s="6">
        <f t="shared" si="0"/>
        <v>5</v>
      </c>
      <c r="J16" s="22">
        <v>7</v>
      </c>
      <c r="K16" s="22">
        <v>7</v>
      </c>
      <c r="L16" s="22">
        <v>7</v>
      </c>
      <c r="M16" s="22">
        <v>5</v>
      </c>
      <c r="N16" s="22">
        <v>7</v>
      </c>
      <c r="O16" s="22">
        <v>9</v>
      </c>
      <c r="P16" s="22">
        <v>5</v>
      </c>
      <c r="Q16" s="22">
        <v>7</v>
      </c>
      <c r="R16" s="22">
        <v>7</v>
      </c>
      <c r="S16" s="22">
        <v>7</v>
      </c>
      <c r="T16" s="22">
        <v>5</v>
      </c>
      <c r="U16" s="22">
        <v>7</v>
      </c>
      <c r="V16" s="22">
        <v>9</v>
      </c>
      <c r="W16" s="22">
        <v>5</v>
      </c>
      <c r="X16" s="22">
        <v>7</v>
      </c>
    </row>
    <row r="17" spans="1:24" x14ac:dyDescent="0.2">
      <c r="A17" s="22" t="s">
        <v>72</v>
      </c>
      <c r="B17" s="6">
        <v>4</v>
      </c>
      <c r="C17" s="6">
        <v>2</v>
      </c>
      <c r="D17" s="6">
        <v>2</v>
      </c>
      <c r="E17" s="6">
        <v>1</v>
      </c>
      <c r="F17" s="6">
        <v>4</v>
      </c>
      <c r="G17" s="6">
        <v>6</v>
      </c>
      <c r="H17" s="6">
        <v>0</v>
      </c>
      <c r="I17" s="6">
        <f>SUM(A17:G17)</f>
        <v>19</v>
      </c>
      <c r="J17" s="22">
        <v>25</v>
      </c>
      <c r="K17" s="22">
        <v>29</v>
      </c>
      <c r="L17" s="22">
        <v>28</v>
      </c>
      <c r="M17" s="22">
        <v>24</v>
      </c>
      <c r="N17" s="22">
        <v>22</v>
      </c>
      <c r="O17" s="22">
        <v>24</v>
      </c>
      <c r="P17" s="22">
        <v>19</v>
      </c>
      <c r="Q17" s="22">
        <v>22</v>
      </c>
      <c r="R17" s="22">
        <v>29</v>
      </c>
      <c r="S17" s="22">
        <v>28</v>
      </c>
      <c r="T17" s="22">
        <v>24</v>
      </c>
      <c r="U17" s="22">
        <v>22</v>
      </c>
      <c r="V17" s="22">
        <v>24</v>
      </c>
      <c r="W17" s="22">
        <v>19</v>
      </c>
      <c r="X17" s="22">
        <v>22</v>
      </c>
    </row>
    <row r="18" spans="1:24" x14ac:dyDescent="0.2">
      <c r="A18" s="6" t="s">
        <v>77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f t="shared" si="0"/>
        <v>0</v>
      </c>
      <c r="J18" s="6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</row>
    <row r="19" spans="1:24" x14ac:dyDescent="0.2">
      <c r="A19" s="6" t="s">
        <v>28</v>
      </c>
      <c r="B19" s="6">
        <v>3</v>
      </c>
      <c r="C19" s="6">
        <v>1</v>
      </c>
      <c r="D19" s="6">
        <v>0</v>
      </c>
      <c r="E19" s="6">
        <v>2</v>
      </c>
      <c r="F19" s="6">
        <v>1</v>
      </c>
      <c r="G19" s="6">
        <v>1</v>
      </c>
      <c r="H19" s="6">
        <v>0</v>
      </c>
      <c r="I19" s="6">
        <f t="shared" si="0"/>
        <v>8</v>
      </c>
      <c r="J19" s="6">
        <v>6</v>
      </c>
      <c r="K19" s="22">
        <v>9</v>
      </c>
      <c r="L19" s="22">
        <v>9</v>
      </c>
      <c r="M19" s="22">
        <v>9</v>
      </c>
      <c r="N19" s="22">
        <v>9</v>
      </c>
      <c r="O19" s="22">
        <v>10</v>
      </c>
      <c r="P19" s="22">
        <v>14</v>
      </c>
      <c r="Q19" s="22">
        <v>14</v>
      </c>
      <c r="R19" s="22">
        <v>9</v>
      </c>
      <c r="S19" s="22">
        <v>9</v>
      </c>
      <c r="T19" s="22">
        <v>9</v>
      </c>
      <c r="U19" s="22">
        <v>9</v>
      </c>
      <c r="V19" s="22">
        <v>10</v>
      </c>
      <c r="W19" s="22">
        <v>14</v>
      </c>
      <c r="X19" s="22">
        <v>14</v>
      </c>
    </row>
    <row r="20" spans="1:24" hidden="1" x14ac:dyDescent="0.2">
      <c r="A20" s="38"/>
      <c r="B20" s="38"/>
      <c r="C20" s="38"/>
      <c r="D20" s="38"/>
      <c r="E20" s="38"/>
      <c r="F20" s="38"/>
      <c r="G20" s="38"/>
      <c r="H20" s="38"/>
      <c r="I20" s="38">
        <f t="shared" si="0"/>
        <v>0</v>
      </c>
      <c r="J20" s="38">
        <v>0</v>
      </c>
    </row>
    <row r="21" spans="1:24" x14ac:dyDescent="0.2">
      <c r="A21" s="6" t="s">
        <v>160</v>
      </c>
      <c r="B21" s="6" t="s">
        <v>166</v>
      </c>
      <c r="C21" s="6" t="s">
        <v>166</v>
      </c>
      <c r="D21" s="6" t="s">
        <v>166</v>
      </c>
      <c r="E21" s="6" t="s">
        <v>166</v>
      </c>
      <c r="F21" s="6" t="s">
        <v>166</v>
      </c>
      <c r="G21" s="6" t="s">
        <v>166</v>
      </c>
      <c r="H21" s="6" t="s">
        <v>166</v>
      </c>
      <c r="I21" s="6" t="s">
        <v>166</v>
      </c>
      <c r="J21" s="6" t="s">
        <v>166</v>
      </c>
      <c r="K21" s="22">
        <v>2</v>
      </c>
      <c r="L21" s="22">
        <v>1</v>
      </c>
      <c r="M21" s="22">
        <v>2</v>
      </c>
      <c r="N21" s="22">
        <v>1</v>
      </c>
      <c r="O21" s="22">
        <v>2</v>
      </c>
      <c r="P21" s="22">
        <v>2</v>
      </c>
      <c r="Q21" s="22">
        <v>2</v>
      </c>
      <c r="R21" s="22">
        <v>2</v>
      </c>
      <c r="S21" s="22">
        <v>1</v>
      </c>
      <c r="T21" s="22">
        <v>2</v>
      </c>
      <c r="U21" s="22">
        <v>1</v>
      </c>
      <c r="V21" s="22">
        <v>2</v>
      </c>
      <c r="W21" s="22">
        <v>2</v>
      </c>
      <c r="X21" s="22">
        <v>2</v>
      </c>
    </row>
    <row r="22" spans="1:24" s="6" customFormat="1" x14ac:dyDescent="0.2">
      <c r="A22" s="6" t="s">
        <v>61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f t="shared" si="0"/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</row>
    <row r="23" spans="1:24" x14ac:dyDescent="0.2">
      <c r="A23" s="6" t="s">
        <v>78</v>
      </c>
      <c r="B23" s="6">
        <v>31</v>
      </c>
      <c r="C23" s="6">
        <v>9</v>
      </c>
      <c r="D23" s="6">
        <v>6</v>
      </c>
      <c r="E23" s="6">
        <v>0</v>
      </c>
      <c r="F23" s="6">
        <v>0</v>
      </c>
      <c r="G23" s="6">
        <v>18</v>
      </c>
      <c r="H23" s="6">
        <v>0</v>
      </c>
      <c r="I23" s="6">
        <f t="shared" si="0"/>
        <v>64</v>
      </c>
      <c r="J23" s="6">
        <v>63</v>
      </c>
      <c r="K23" s="22">
        <v>63</v>
      </c>
      <c r="L23" s="22">
        <v>68</v>
      </c>
      <c r="M23" s="22">
        <v>72</v>
      </c>
      <c r="N23" s="22">
        <v>72</v>
      </c>
      <c r="O23" s="22">
        <v>76</v>
      </c>
      <c r="P23" s="22">
        <v>74</v>
      </c>
      <c r="Q23" s="22">
        <v>79</v>
      </c>
      <c r="R23" s="22">
        <v>63</v>
      </c>
      <c r="S23" s="22">
        <v>68</v>
      </c>
      <c r="T23" s="22">
        <v>72</v>
      </c>
      <c r="U23" s="22">
        <v>72</v>
      </c>
      <c r="V23" s="22">
        <v>76</v>
      </c>
      <c r="W23" s="22">
        <v>74</v>
      </c>
      <c r="X23" s="22">
        <v>79</v>
      </c>
    </row>
    <row r="24" spans="1:24" hidden="1" x14ac:dyDescent="0.2">
      <c r="A24" s="38" t="s">
        <v>29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f t="shared" si="0"/>
        <v>0</v>
      </c>
      <c r="J24" s="38">
        <v>0</v>
      </c>
      <c r="K24" s="22">
        <v>0</v>
      </c>
      <c r="L24" s="22">
        <v>0</v>
      </c>
      <c r="M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V24" s="22">
        <v>0</v>
      </c>
      <c r="W24" s="22">
        <v>0</v>
      </c>
      <c r="X24" s="22">
        <v>0</v>
      </c>
    </row>
    <row r="25" spans="1:24" ht="13.5" customHeight="1" x14ac:dyDescent="0.2">
      <c r="A25" s="6" t="s">
        <v>176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f t="shared" si="0"/>
        <v>0</v>
      </c>
      <c r="J25" s="6">
        <v>0</v>
      </c>
      <c r="K25" s="22">
        <v>0</v>
      </c>
      <c r="L25" s="22">
        <v>1</v>
      </c>
      <c r="M25" s="22">
        <v>0</v>
      </c>
      <c r="N25" s="22">
        <v>0</v>
      </c>
      <c r="O25" s="22">
        <v>0</v>
      </c>
      <c r="P25" s="22">
        <v>1</v>
      </c>
      <c r="Q25" s="22">
        <v>1</v>
      </c>
      <c r="R25" s="22">
        <v>0</v>
      </c>
      <c r="S25" s="22">
        <v>1</v>
      </c>
      <c r="T25" s="22">
        <v>0</v>
      </c>
      <c r="U25" s="22">
        <v>0</v>
      </c>
      <c r="V25" s="22">
        <v>0</v>
      </c>
      <c r="W25" s="22">
        <v>1</v>
      </c>
      <c r="X25" s="22">
        <v>1</v>
      </c>
    </row>
    <row r="26" spans="1:24" x14ac:dyDescent="0.2">
      <c r="A26" s="6" t="s">
        <v>30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f t="shared" si="0"/>
        <v>0</v>
      </c>
      <c r="J26" s="6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</row>
    <row r="27" spans="1:24" x14ac:dyDescent="0.2">
      <c r="A27" s="6" t="s">
        <v>31</v>
      </c>
      <c r="B27" s="6">
        <v>8</v>
      </c>
      <c r="C27" s="6">
        <v>8</v>
      </c>
      <c r="D27" s="6">
        <v>0</v>
      </c>
      <c r="E27" s="6">
        <v>0</v>
      </c>
      <c r="F27" s="6">
        <v>0</v>
      </c>
      <c r="G27" s="6">
        <v>9</v>
      </c>
      <c r="H27" s="6">
        <v>0</v>
      </c>
      <c r="I27" s="6">
        <f t="shared" si="0"/>
        <v>25</v>
      </c>
      <c r="J27" s="6">
        <v>22</v>
      </c>
      <c r="K27" s="22">
        <v>21</v>
      </c>
      <c r="L27" s="22">
        <v>24</v>
      </c>
      <c r="M27" s="22">
        <v>25</v>
      </c>
      <c r="N27" s="22">
        <v>26</v>
      </c>
      <c r="O27" s="22">
        <v>32</v>
      </c>
      <c r="P27" s="22">
        <v>30</v>
      </c>
      <c r="Q27" s="22">
        <v>29</v>
      </c>
      <c r="R27" s="22">
        <v>21</v>
      </c>
      <c r="S27" s="22">
        <v>24</v>
      </c>
      <c r="T27" s="22">
        <v>25</v>
      </c>
      <c r="U27" s="22">
        <v>26</v>
      </c>
      <c r="V27" s="22">
        <v>32</v>
      </c>
      <c r="W27" s="22">
        <v>30</v>
      </c>
      <c r="X27" s="22">
        <v>29</v>
      </c>
    </row>
    <row r="28" spans="1:24" x14ac:dyDescent="0.2">
      <c r="A28" s="22" t="s">
        <v>32</v>
      </c>
      <c r="B28" s="6">
        <v>1</v>
      </c>
      <c r="C28" s="6">
        <v>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f t="shared" si="0"/>
        <v>3</v>
      </c>
      <c r="J28" s="22">
        <v>4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</row>
    <row r="29" spans="1:24" x14ac:dyDescent="0.2">
      <c r="A29" s="22" t="s">
        <v>33</v>
      </c>
      <c r="B29" s="6">
        <v>40</v>
      </c>
      <c r="C29" s="6">
        <v>39</v>
      </c>
      <c r="D29" s="6">
        <v>4</v>
      </c>
      <c r="E29" s="6">
        <v>2</v>
      </c>
      <c r="F29" s="6">
        <v>0</v>
      </c>
      <c r="G29" s="6">
        <v>5</v>
      </c>
      <c r="H29" s="6">
        <v>0</v>
      </c>
      <c r="I29" s="6">
        <f t="shared" si="0"/>
        <v>90</v>
      </c>
      <c r="J29" s="22">
        <v>100</v>
      </c>
      <c r="K29" s="22">
        <v>123</v>
      </c>
      <c r="L29" s="22">
        <v>145</v>
      </c>
      <c r="M29" s="22">
        <v>154</v>
      </c>
      <c r="N29" s="22">
        <v>184</v>
      </c>
      <c r="O29" s="22">
        <v>192</v>
      </c>
      <c r="P29" s="22">
        <v>189</v>
      </c>
      <c r="Q29" s="22">
        <v>191</v>
      </c>
      <c r="R29" s="22">
        <v>123</v>
      </c>
      <c r="S29" s="22">
        <v>145</v>
      </c>
      <c r="T29" s="22">
        <v>154</v>
      </c>
      <c r="U29" s="22">
        <v>184</v>
      </c>
      <c r="V29" s="22">
        <v>192</v>
      </c>
      <c r="W29" s="22">
        <v>189</v>
      </c>
      <c r="X29" s="22">
        <v>191</v>
      </c>
    </row>
    <row r="30" spans="1:24" x14ac:dyDescent="0.2">
      <c r="A30" s="22" t="s">
        <v>34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f t="shared" si="0"/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</row>
    <row r="31" spans="1:24" x14ac:dyDescent="0.2">
      <c r="A31" s="22" t="s">
        <v>35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f t="shared" si="0"/>
        <v>0</v>
      </c>
      <c r="J31" s="22">
        <v>0</v>
      </c>
      <c r="K31" s="22">
        <v>2</v>
      </c>
      <c r="L31" s="22">
        <v>2</v>
      </c>
      <c r="M31" s="22">
        <v>2</v>
      </c>
      <c r="N31" s="22">
        <v>2</v>
      </c>
      <c r="O31" s="22">
        <v>0</v>
      </c>
      <c r="P31" s="22">
        <v>0</v>
      </c>
      <c r="Q31" s="22">
        <v>0</v>
      </c>
      <c r="R31" s="22">
        <v>2</v>
      </c>
      <c r="S31" s="22">
        <v>2</v>
      </c>
      <c r="T31" s="22">
        <v>2</v>
      </c>
      <c r="U31" s="22">
        <v>2</v>
      </c>
      <c r="V31" s="22">
        <v>0</v>
      </c>
      <c r="W31" s="22">
        <v>0</v>
      </c>
      <c r="X31" s="22">
        <v>0</v>
      </c>
    </row>
    <row r="32" spans="1:24" s="6" customFormat="1" x14ac:dyDescent="0.2">
      <c r="A32" s="6" t="s">
        <v>60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f t="shared" si="0"/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</row>
    <row r="33" spans="1:24" x14ac:dyDescent="0.2">
      <c r="A33" s="6" t="s">
        <v>143</v>
      </c>
      <c r="B33" s="6">
        <v>11</v>
      </c>
      <c r="C33" s="6">
        <v>0</v>
      </c>
      <c r="D33" s="6">
        <v>2</v>
      </c>
      <c r="E33" s="6">
        <v>2</v>
      </c>
      <c r="F33" s="6">
        <v>1</v>
      </c>
      <c r="G33" s="6">
        <v>6</v>
      </c>
      <c r="H33" s="6">
        <v>0</v>
      </c>
      <c r="I33" s="6">
        <f t="shared" si="0"/>
        <v>22</v>
      </c>
      <c r="J33" s="6">
        <v>29</v>
      </c>
      <c r="K33" s="22">
        <v>33</v>
      </c>
      <c r="L33" s="22">
        <v>33</v>
      </c>
      <c r="M33" s="22">
        <v>34</v>
      </c>
      <c r="N33" s="22">
        <v>34</v>
      </c>
      <c r="O33" s="22">
        <v>30</v>
      </c>
      <c r="P33" s="22">
        <v>29</v>
      </c>
      <c r="Q33" s="22">
        <v>29</v>
      </c>
      <c r="R33" s="22">
        <v>33</v>
      </c>
      <c r="S33" s="22">
        <v>33</v>
      </c>
      <c r="T33" s="22">
        <v>34</v>
      </c>
      <c r="U33" s="22">
        <v>34</v>
      </c>
      <c r="V33" s="22">
        <v>30</v>
      </c>
      <c r="W33" s="22">
        <v>29</v>
      </c>
      <c r="X33" s="22">
        <v>29</v>
      </c>
    </row>
    <row r="34" spans="1:24" x14ac:dyDescent="0.2">
      <c r="A34" s="6" t="s">
        <v>119</v>
      </c>
      <c r="B34" s="6">
        <v>4</v>
      </c>
      <c r="C34" s="6">
        <v>7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f t="shared" si="0"/>
        <v>11</v>
      </c>
      <c r="J34" s="6">
        <v>15</v>
      </c>
      <c r="K34" s="22">
        <v>12</v>
      </c>
      <c r="L34" s="22">
        <v>13</v>
      </c>
      <c r="M34" s="22">
        <v>10</v>
      </c>
      <c r="N34" s="22">
        <v>7</v>
      </c>
      <c r="O34" s="22">
        <v>7</v>
      </c>
      <c r="P34" s="22">
        <v>8</v>
      </c>
      <c r="Q34" s="22">
        <v>8</v>
      </c>
      <c r="R34" s="22">
        <v>12</v>
      </c>
      <c r="S34" s="22">
        <v>13</v>
      </c>
      <c r="T34" s="22">
        <v>10</v>
      </c>
      <c r="U34" s="22">
        <v>7</v>
      </c>
      <c r="V34" s="22">
        <v>7</v>
      </c>
      <c r="W34" s="22">
        <v>8</v>
      </c>
      <c r="X34" s="22">
        <v>8</v>
      </c>
    </row>
    <row r="35" spans="1:24" x14ac:dyDescent="0.2">
      <c r="A35" s="6" t="s">
        <v>36</v>
      </c>
      <c r="B35" s="6">
        <v>5</v>
      </c>
      <c r="C35" s="6">
        <v>0</v>
      </c>
      <c r="D35" s="6">
        <v>0</v>
      </c>
      <c r="E35" s="6">
        <v>0</v>
      </c>
      <c r="F35" s="6">
        <v>0</v>
      </c>
      <c r="G35" s="6">
        <v>1</v>
      </c>
      <c r="H35" s="6">
        <v>0</v>
      </c>
      <c r="I35" s="6">
        <f t="shared" si="0"/>
        <v>6</v>
      </c>
      <c r="J35" s="6">
        <v>7</v>
      </c>
      <c r="K35" s="22">
        <v>6</v>
      </c>
      <c r="L35" s="22">
        <v>10</v>
      </c>
      <c r="M35" s="22">
        <v>14</v>
      </c>
      <c r="N35" s="22">
        <v>17</v>
      </c>
      <c r="O35" s="22">
        <v>21</v>
      </c>
      <c r="P35" s="22">
        <v>16</v>
      </c>
      <c r="Q35" s="22">
        <v>17</v>
      </c>
      <c r="R35" s="22">
        <v>6</v>
      </c>
      <c r="S35" s="22">
        <v>10</v>
      </c>
      <c r="T35" s="22">
        <v>14</v>
      </c>
      <c r="U35" s="22">
        <v>17</v>
      </c>
      <c r="V35" s="22">
        <v>21</v>
      </c>
      <c r="W35" s="22">
        <v>16</v>
      </c>
      <c r="X35" s="22">
        <v>17</v>
      </c>
    </row>
    <row r="36" spans="1:24" x14ac:dyDescent="0.2">
      <c r="A36" s="22" t="s">
        <v>164</v>
      </c>
      <c r="B36" s="6">
        <v>0</v>
      </c>
      <c r="C36" s="6">
        <v>0</v>
      </c>
      <c r="D36" s="6">
        <v>0</v>
      </c>
      <c r="E36" s="6">
        <v>6</v>
      </c>
      <c r="F36" s="6">
        <v>1</v>
      </c>
      <c r="G36" s="6">
        <v>2</v>
      </c>
      <c r="H36" s="6">
        <v>0</v>
      </c>
      <c r="I36" s="6">
        <f>SUM(A36:G36)</f>
        <v>9</v>
      </c>
      <c r="J36" s="22">
        <v>10</v>
      </c>
      <c r="K36" s="22">
        <v>7</v>
      </c>
      <c r="L36" s="22">
        <v>32</v>
      </c>
      <c r="M36" s="22">
        <v>29</v>
      </c>
      <c r="N36" s="22">
        <v>22</v>
      </c>
      <c r="O36" s="22">
        <v>24</v>
      </c>
      <c r="P36" s="22">
        <v>19</v>
      </c>
      <c r="Q36" s="22">
        <v>16</v>
      </c>
      <c r="R36" s="22">
        <v>7</v>
      </c>
      <c r="S36" s="22">
        <v>32</v>
      </c>
      <c r="T36" s="22">
        <v>29</v>
      </c>
      <c r="U36" s="22">
        <v>22</v>
      </c>
      <c r="V36" s="22">
        <v>24</v>
      </c>
      <c r="W36" s="22">
        <v>19</v>
      </c>
      <c r="X36" s="22">
        <v>16</v>
      </c>
    </row>
    <row r="37" spans="1:24" s="27" customFormat="1" x14ac:dyDescent="0.2">
      <c r="A37" s="59" t="s">
        <v>54</v>
      </c>
      <c r="B37" s="27">
        <f>SUM(Table3[Column2])</f>
        <v>247</v>
      </c>
      <c r="C37" s="27">
        <f>SUM(Table3[Column3])</f>
        <v>98</v>
      </c>
      <c r="D37" s="27">
        <f>SUM(Table3[Column4])</f>
        <v>20</v>
      </c>
      <c r="E37" s="27">
        <f>SUM(Table3[Column5])</f>
        <v>15</v>
      </c>
      <c r="F37" s="27">
        <f>SUM(Table3[Column6])</f>
        <v>8</v>
      </c>
      <c r="G37" s="27">
        <f>SUM(Table3[Column7])</f>
        <v>146</v>
      </c>
      <c r="H37" s="27">
        <f>SUM(Table3[Column8])</f>
        <v>0</v>
      </c>
      <c r="I37" s="27">
        <f>SUM(Table3[Column82])</f>
        <v>534</v>
      </c>
      <c r="J37" s="27">
        <f>SUM(Table3[Column83])</f>
        <v>580</v>
      </c>
      <c r="K37" s="27">
        <f>SUM(Table3[Column9])</f>
        <v>592</v>
      </c>
      <c r="L37" s="27">
        <f>SUM(Table3[Column92])</f>
        <v>680</v>
      </c>
      <c r="M37" s="27">
        <f>SUM(Table3[Column10])</f>
        <v>689</v>
      </c>
      <c r="N37" s="27">
        <f>SUM(Table3[Column11])</f>
        <v>700</v>
      </c>
      <c r="O37" s="27">
        <f>SUM(Table3[Column12])</f>
        <v>745</v>
      </c>
      <c r="P37" s="27">
        <f>SUM(Table3[Column13])</f>
        <v>742</v>
      </c>
      <c r="Q37" s="27">
        <f>SUM(Table3[Column14])</f>
        <v>820</v>
      </c>
      <c r="R37" s="27">
        <f>SUM(Table3[Column15])</f>
        <v>592</v>
      </c>
      <c r="S37" s="27">
        <f>SUM(Table3[Column16])</f>
        <v>680</v>
      </c>
      <c r="T37" s="27">
        <f>SUM(Table3[Column17])</f>
        <v>689</v>
      </c>
      <c r="U37" s="27">
        <f>SUM(Table3[Column18])</f>
        <v>700</v>
      </c>
      <c r="V37" s="27">
        <f>SUM(Table3[Column19])</f>
        <v>745</v>
      </c>
      <c r="W37" s="27">
        <f>SUM(Table3[Column20])</f>
        <v>742</v>
      </c>
      <c r="X37" s="27">
        <f>SUM(Table3[Column21])</f>
        <v>820</v>
      </c>
    </row>
    <row r="38" spans="1:24" x14ac:dyDescent="0.2">
      <c r="A38" s="22" t="s">
        <v>55</v>
      </c>
    </row>
    <row r="39" spans="1:24" x14ac:dyDescent="0.2">
      <c r="A39" s="22" t="s">
        <v>128</v>
      </c>
    </row>
    <row r="41" spans="1:24" x14ac:dyDescent="0.2">
      <c r="D41" s="98" t="s">
        <v>178</v>
      </c>
      <c r="E41" s="99"/>
      <c r="F41" s="99"/>
      <c r="G41" s="99"/>
      <c r="H41" s="99"/>
      <c r="I41" s="99"/>
      <c r="J41" s="87"/>
      <c r="K41" s="87">
        <v>580</v>
      </c>
      <c r="L41" s="87">
        <v>680</v>
      </c>
      <c r="M41" s="87">
        <v>658</v>
      </c>
      <c r="N41" s="87">
        <v>677</v>
      </c>
      <c r="O41" s="87">
        <v>719</v>
      </c>
      <c r="P41" s="87">
        <v>721</v>
      </c>
      <c r="Q41" s="88">
        <v>802</v>
      </c>
    </row>
    <row r="42" spans="1:24" x14ac:dyDescent="0.2"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1"/>
    </row>
    <row r="43" spans="1:24" x14ac:dyDescent="0.2">
      <c r="D43" s="92"/>
      <c r="E43" s="93" t="s">
        <v>179</v>
      </c>
      <c r="F43" s="94"/>
      <c r="G43" s="94"/>
      <c r="H43" s="94"/>
      <c r="I43" s="94"/>
      <c r="J43" s="94"/>
      <c r="K43" s="94">
        <v>592</v>
      </c>
      <c r="L43" s="94">
        <v>680</v>
      </c>
      <c r="M43" s="94">
        <v>689</v>
      </c>
      <c r="N43" s="94">
        <v>700</v>
      </c>
      <c r="O43" s="94">
        <v>745</v>
      </c>
      <c r="P43" s="94">
        <v>742</v>
      </c>
      <c r="Q43" s="95">
        <v>820</v>
      </c>
    </row>
  </sheetData>
  <sheetProtection algorithmName="SHA-512" hashValue="Y7XKvKicInVvTasKrmtNSdkRDgw0crx4HsmWzi0m5AakMexCQSSADSmym0zVvbHUWpncFTwBjOQg9UC9aI5pEg==" saltValue="fs7Wdqo42tXbJK76PMN+QA==" spinCount="100000" sheet="1" objects="1"/>
  <mergeCells count="1">
    <mergeCell ref="D41:I41"/>
  </mergeCells>
  <pageMargins left="0.75" right="0.75" top="1" bottom="1" header="0.51180555555555551" footer="0.51180555555555551"/>
  <pageSetup paperSize="9" scale="62" firstPageNumber="0" fitToHeight="0" orientation="landscape" horizontalDpi="300" verticalDpi="300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43"/>
  <sheetViews>
    <sheetView zoomScale="55" zoomScaleNormal="55" workbookViewId="0">
      <pane xSplit="1" topLeftCell="B1" activePane="topRight" state="frozen"/>
      <selection pane="topRight" activeCell="C16" sqref="C16"/>
    </sheetView>
  </sheetViews>
  <sheetFormatPr defaultRowHeight="12.75" x14ac:dyDescent="0.2"/>
  <cols>
    <col min="1" max="1" width="69.5703125" style="8" customWidth="1"/>
    <col min="2" max="2" width="14.42578125" style="14" customWidth="1"/>
    <col min="3" max="3" width="12.28515625" style="14" customWidth="1"/>
    <col min="4" max="4" width="15.28515625" style="14" customWidth="1"/>
    <col min="5" max="5" width="13.7109375" style="8" customWidth="1"/>
    <col min="6" max="10" width="12.7109375" style="8" customWidth="1"/>
    <col min="11" max="11" width="2.42578125" style="8" customWidth="1"/>
    <col min="12" max="12" width="12.42578125" style="14" customWidth="1"/>
    <col min="13" max="13" width="14.140625" style="8" customWidth="1"/>
    <col min="14" max="14" width="10.140625" style="14" customWidth="1"/>
    <col min="15" max="15" width="11.140625" style="8" customWidth="1"/>
    <col min="16" max="18" width="12.7109375" style="8" customWidth="1"/>
    <col min="19" max="19" width="14.42578125" style="8" customWidth="1"/>
    <col min="20" max="20" width="13.42578125" style="8" customWidth="1"/>
    <col min="21" max="21" width="4.85546875" style="8" customWidth="1"/>
    <col min="22" max="22" width="16.140625" style="14" customWidth="1"/>
    <col min="23" max="23" width="23.42578125" style="8" customWidth="1"/>
    <col min="24" max="24" width="21.42578125" style="8" customWidth="1"/>
    <col min="25" max="25" width="14.28515625" style="8" customWidth="1"/>
    <col min="26" max="26" width="9.140625" style="8"/>
    <col min="27" max="27" width="17.85546875" style="14" customWidth="1"/>
    <col min="28" max="28" width="14.85546875" style="14" customWidth="1"/>
    <col min="29" max="29" width="18.85546875" style="8" customWidth="1"/>
    <col min="30" max="16384" width="9.140625" style="8"/>
  </cols>
  <sheetData>
    <row r="1" spans="1:59" s="44" customForma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 t="s">
        <v>172</v>
      </c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59" s="43" customFormat="1" ht="17.25" customHeight="1" x14ac:dyDescent="0.2">
      <c r="F2" s="43" t="s">
        <v>175</v>
      </c>
      <c r="L2" s="43" t="s">
        <v>56</v>
      </c>
      <c r="V2" s="43" t="s">
        <v>69</v>
      </c>
      <c r="AA2" s="43" t="s">
        <v>122</v>
      </c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</row>
    <row r="3" spans="1:59" s="10" customFormat="1" x14ac:dyDescent="0.2">
      <c r="A3" s="1"/>
      <c r="B3" s="1"/>
      <c r="C3" s="43"/>
      <c r="D3" s="43"/>
      <c r="E3" s="43"/>
      <c r="F3" s="43" t="s">
        <v>57</v>
      </c>
      <c r="G3" s="43"/>
      <c r="H3" s="43"/>
      <c r="I3" s="43"/>
      <c r="J3" s="43"/>
      <c r="K3" s="1"/>
      <c r="L3" s="1" t="s">
        <v>58</v>
      </c>
      <c r="M3" s="1"/>
      <c r="N3" s="1"/>
      <c r="O3" s="1"/>
      <c r="P3" s="1"/>
      <c r="Q3" s="1"/>
      <c r="R3" s="1"/>
      <c r="S3" s="1"/>
      <c r="T3" s="1"/>
      <c r="U3" s="1"/>
      <c r="V3" s="1" t="s">
        <v>68</v>
      </c>
      <c r="W3" s="1"/>
      <c r="X3" s="1"/>
      <c r="Y3" s="1"/>
      <c r="Z3" s="1"/>
      <c r="AA3" s="43" t="s">
        <v>141</v>
      </c>
      <c r="AB3" s="1"/>
      <c r="AC3" s="1"/>
    </row>
    <row r="4" spans="1:59" hidden="1" x14ac:dyDescent="0.2">
      <c r="A4" s="8" t="s">
        <v>82</v>
      </c>
      <c r="B4" s="14" t="s">
        <v>100</v>
      </c>
      <c r="C4" s="14" t="s">
        <v>99</v>
      </c>
      <c r="D4" s="14" t="s">
        <v>98</v>
      </c>
      <c r="E4" s="9" t="s">
        <v>83</v>
      </c>
      <c r="F4" s="7" t="s">
        <v>84</v>
      </c>
      <c r="G4" s="9" t="s">
        <v>85</v>
      </c>
      <c r="H4" s="9" t="s">
        <v>86</v>
      </c>
      <c r="I4" s="9" t="s">
        <v>87</v>
      </c>
      <c r="J4" s="9" t="s">
        <v>88</v>
      </c>
      <c r="K4" s="5" t="s">
        <v>89</v>
      </c>
      <c r="L4" s="5" t="s">
        <v>170</v>
      </c>
      <c r="M4" s="5" t="s">
        <v>139</v>
      </c>
      <c r="N4" s="13" t="s">
        <v>90</v>
      </c>
      <c r="O4" s="13" t="s">
        <v>113</v>
      </c>
      <c r="P4" s="9" t="s">
        <v>91</v>
      </c>
      <c r="Q4" s="9" t="s">
        <v>92</v>
      </c>
      <c r="R4" s="9" t="s">
        <v>93</v>
      </c>
      <c r="S4" s="9" t="s">
        <v>94</v>
      </c>
      <c r="T4" s="9" t="s">
        <v>95</v>
      </c>
      <c r="U4" s="5" t="s">
        <v>96</v>
      </c>
      <c r="V4" s="5" t="s">
        <v>171</v>
      </c>
      <c r="W4" s="5" t="s">
        <v>140</v>
      </c>
      <c r="X4" s="5" t="s">
        <v>114</v>
      </c>
      <c r="Y4" s="9" t="s">
        <v>97</v>
      </c>
      <c r="Z4" s="5"/>
      <c r="AA4" s="5"/>
      <c r="AB4" s="5"/>
      <c r="AD4" s="6"/>
      <c r="AE4" s="6"/>
      <c r="AF4" s="6"/>
    </row>
    <row r="5" spans="1:59" s="14" customFormat="1" x14ac:dyDescent="0.2">
      <c r="A5" s="35" t="s">
        <v>70</v>
      </c>
      <c r="B5" s="9">
        <v>43100</v>
      </c>
      <c r="C5" s="14" t="s">
        <v>158</v>
      </c>
      <c r="D5" s="9" t="s">
        <v>121</v>
      </c>
      <c r="E5" s="9" t="s">
        <v>129</v>
      </c>
      <c r="F5" s="7" t="s">
        <v>130</v>
      </c>
      <c r="G5" s="9" t="s">
        <v>131</v>
      </c>
      <c r="H5" s="9" t="s">
        <v>132</v>
      </c>
      <c r="I5" s="9" t="s">
        <v>133</v>
      </c>
      <c r="J5" s="9" t="s">
        <v>134</v>
      </c>
      <c r="K5" s="5"/>
      <c r="L5" s="7">
        <v>43100</v>
      </c>
      <c r="M5" s="6" t="s">
        <v>158</v>
      </c>
      <c r="N5" s="6" t="s">
        <v>121</v>
      </c>
      <c r="O5" s="13" t="s">
        <v>67</v>
      </c>
      <c r="P5" s="9" t="s">
        <v>130</v>
      </c>
      <c r="Q5" s="9" t="s">
        <v>131</v>
      </c>
      <c r="R5" s="9" t="s">
        <v>132</v>
      </c>
      <c r="S5" s="9" t="s">
        <v>133</v>
      </c>
      <c r="T5" s="9" t="s">
        <v>134</v>
      </c>
      <c r="U5" s="5"/>
      <c r="V5" s="7">
        <v>43100</v>
      </c>
      <c r="W5" s="6" t="s">
        <v>158</v>
      </c>
      <c r="X5" s="6" t="s">
        <v>121</v>
      </c>
      <c r="Y5" s="9" t="s">
        <v>129</v>
      </c>
      <c r="Z5" s="5"/>
      <c r="AA5" s="82">
        <v>43100</v>
      </c>
      <c r="AB5" s="82">
        <v>42735</v>
      </c>
      <c r="AC5" s="55" t="s">
        <v>121</v>
      </c>
      <c r="AD5" s="6"/>
      <c r="AE5" s="6"/>
      <c r="AF5" s="6"/>
    </row>
    <row r="6" spans="1:59" ht="13.5" thickBot="1" x14ac:dyDescent="0.25">
      <c r="A6" s="38"/>
      <c r="B6" s="6" t="s">
        <v>43</v>
      </c>
      <c r="C6" s="54" t="s">
        <v>43</v>
      </c>
      <c r="D6" s="6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5"/>
      <c r="L6" s="6" t="s">
        <v>43</v>
      </c>
      <c r="M6" s="6" t="s">
        <v>43</v>
      </c>
      <c r="N6" s="6" t="s">
        <v>43</v>
      </c>
      <c r="O6" s="6" t="s">
        <v>22</v>
      </c>
      <c r="P6" s="8" t="s">
        <v>43</v>
      </c>
      <c r="Q6" s="8" t="s">
        <v>22</v>
      </c>
      <c r="R6" s="8" t="s">
        <v>43</v>
      </c>
      <c r="S6" s="8" t="s">
        <v>22</v>
      </c>
      <c r="T6" s="8" t="s">
        <v>22</v>
      </c>
      <c r="U6" s="5"/>
      <c r="V6" s="6" t="s">
        <v>43</v>
      </c>
      <c r="W6" s="6" t="s">
        <v>43</v>
      </c>
      <c r="X6" s="6" t="s">
        <v>43</v>
      </c>
      <c r="Y6" s="8" t="s">
        <v>43</v>
      </c>
      <c r="Z6" s="5"/>
      <c r="AA6" s="41" t="s">
        <v>43</v>
      </c>
      <c r="AB6" s="41" t="s">
        <v>43</v>
      </c>
      <c r="AC6" s="36" t="s">
        <v>43</v>
      </c>
      <c r="AD6" s="6"/>
      <c r="AE6" s="6"/>
      <c r="AF6" s="6"/>
    </row>
    <row r="7" spans="1:59" s="6" customFormat="1" x14ac:dyDescent="0.2">
      <c r="A7" s="6" t="s">
        <v>24</v>
      </c>
      <c r="B7" s="6" t="s">
        <v>177</v>
      </c>
      <c r="C7" s="6" t="s">
        <v>166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30"/>
      <c r="L7" s="6" t="s">
        <v>177</v>
      </c>
      <c r="M7" s="6" t="s">
        <v>166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30"/>
      <c r="V7" s="6" t="s">
        <v>177</v>
      </c>
      <c r="W7" s="6" t="s">
        <v>166</v>
      </c>
      <c r="X7" s="22">
        <v>0</v>
      </c>
      <c r="Y7" s="65">
        <v>0</v>
      </c>
      <c r="Z7" s="30"/>
      <c r="AA7" s="64" t="s">
        <v>177</v>
      </c>
      <c r="AB7" s="64" t="s">
        <v>166</v>
      </c>
      <c r="AC7" s="70">
        <v>10</v>
      </c>
    </row>
    <row r="8" spans="1:59" s="19" customFormat="1" x14ac:dyDescent="0.2">
      <c r="A8" s="6" t="s">
        <v>25</v>
      </c>
      <c r="B8" s="6">
        <v>14</v>
      </c>
      <c r="C8" s="22">
        <v>5</v>
      </c>
      <c r="D8" s="22">
        <v>14</v>
      </c>
      <c r="E8" s="22">
        <v>15</v>
      </c>
      <c r="F8" s="22">
        <v>21</v>
      </c>
      <c r="G8" s="22">
        <v>18</v>
      </c>
      <c r="H8" s="22">
        <v>14</v>
      </c>
      <c r="I8" s="22">
        <v>0</v>
      </c>
      <c r="J8" s="22">
        <v>64</v>
      </c>
      <c r="K8" s="30"/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1</v>
      </c>
      <c r="U8" s="30">
        <v>0</v>
      </c>
      <c r="V8" s="22">
        <v>5</v>
      </c>
      <c r="W8" s="22">
        <v>11</v>
      </c>
      <c r="X8" s="22">
        <v>3</v>
      </c>
      <c r="Y8" s="22">
        <v>10</v>
      </c>
      <c r="Z8" s="30"/>
      <c r="AA8" s="42">
        <v>20</v>
      </c>
      <c r="AB8" s="42">
        <v>13</v>
      </c>
      <c r="AC8" s="40">
        <v>10</v>
      </c>
    </row>
    <row r="9" spans="1:59" s="19" customFormat="1" x14ac:dyDescent="0.2">
      <c r="A9" s="6" t="s">
        <v>161</v>
      </c>
      <c r="B9" s="6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30"/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30"/>
      <c r="V9" s="22">
        <v>0</v>
      </c>
      <c r="W9" s="22">
        <v>0</v>
      </c>
      <c r="X9" s="22">
        <v>0</v>
      </c>
      <c r="Y9" s="22">
        <v>0</v>
      </c>
      <c r="Z9" s="30"/>
      <c r="AA9" s="66">
        <v>0</v>
      </c>
      <c r="AB9" s="66">
        <v>0</v>
      </c>
      <c r="AC9" s="70">
        <v>0</v>
      </c>
    </row>
    <row r="10" spans="1:59" s="6" customFormat="1" x14ac:dyDescent="0.2">
      <c r="A10" s="22" t="s">
        <v>162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30"/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30"/>
      <c r="V10" s="22">
        <v>0</v>
      </c>
      <c r="W10" s="22">
        <v>0</v>
      </c>
      <c r="X10" s="22">
        <v>0</v>
      </c>
      <c r="Y10" s="22">
        <v>0</v>
      </c>
      <c r="Z10" s="30"/>
      <c r="AA10" s="42">
        <v>0</v>
      </c>
      <c r="AB10" s="42">
        <v>0</v>
      </c>
      <c r="AC10" s="40">
        <v>0</v>
      </c>
    </row>
    <row r="11" spans="1:59" s="19" customFormat="1" x14ac:dyDescent="0.2">
      <c r="A11" s="6" t="s">
        <v>163</v>
      </c>
      <c r="B11" s="6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2</v>
      </c>
      <c r="J11" s="22">
        <v>0</v>
      </c>
      <c r="K11" s="30"/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30"/>
      <c r="V11" s="22">
        <v>0</v>
      </c>
      <c r="W11" s="22">
        <v>0</v>
      </c>
      <c r="X11" s="22">
        <v>0</v>
      </c>
      <c r="Y11" s="22">
        <v>0</v>
      </c>
      <c r="Z11" s="30"/>
      <c r="AA11" s="66">
        <v>0</v>
      </c>
      <c r="AB11" s="66">
        <v>0</v>
      </c>
      <c r="AC11" s="70">
        <v>0</v>
      </c>
    </row>
    <row r="12" spans="1:59" s="6" customFormat="1" x14ac:dyDescent="0.2">
      <c r="A12" s="6" t="s">
        <v>126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5"/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5"/>
      <c r="V12" s="6">
        <v>0</v>
      </c>
      <c r="W12" s="6">
        <v>0</v>
      </c>
      <c r="X12" s="6">
        <v>0</v>
      </c>
      <c r="Y12" s="6">
        <v>0</v>
      </c>
      <c r="Z12" s="5"/>
      <c r="AA12" s="41">
        <v>0</v>
      </c>
      <c r="AB12" s="41">
        <v>0</v>
      </c>
      <c r="AC12" s="46">
        <v>0</v>
      </c>
    </row>
    <row r="13" spans="1:59" s="6" customFormat="1" x14ac:dyDescent="0.2">
      <c r="A13" s="6" t="s">
        <v>26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5"/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5"/>
      <c r="V13" s="6">
        <v>0</v>
      </c>
      <c r="W13" s="6">
        <v>0</v>
      </c>
      <c r="X13" s="6">
        <v>0</v>
      </c>
      <c r="Y13" s="6">
        <v>0</v>
      </c>
      <c r="Z13" s="5"/>
      <c r="AA13" s="67">
        <v>0</v>
      </c>
      <c r="AB13" s="67">
        <v>20</v>
      </c>
      <c r="AC13" s="71">
        <v>0</v>
      </c>
    </row>
    <row r="14" spans="1:59" s="19" customFormat="1" x14ac:dyDescent="0.2">
      <c r="A14" s="6" t="s">
        <v>27</v>
      </c>
      <c r="B14" s="6">
        <v>0</v>
      </c>
      <c r="C14" s="22">
        <v>0</v>
      </c>
      <c r="D14" s="22">
        <v>1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30"/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30"/>
      <c r="V14" s="22">
        <v>7</v>
      </c>
      <c r="W14" s="22">
        <v>5</v>
      </c>
      <c r="X14" s="22">
        <v>4</v>
      </c>
      <c r="Y14" s="22">
        <v>11</v>
      </c>
      <c r="Z14" s="30"/>
      <c r="AA14" s="42">
        <v>3</v>
      </c>
      <c r="AB14" s="42">
        <v>2</v>
      </c>
      <c r="AC14" s="40">
        <v>2</v>
      </c>
    </row>
    <row r="15" spans="1:59" s="19" customFormat="1" x14ac:dyDescent="0.2">
      <c r="A15" s="6" t="s">
        <v>71</v>
      </c>
      <c r="B15" s="6">
        <v>1</v>
      </c>
      <c r="C15" s="22">
        <v>2</v>
      </c>
      <c r="D15" s="22">
        <v>1</v>
      </c>
      <c r="E15" s="22">
        <v>0</v>
      </c>
      <c r="F15" s="22">
        <v>2</v>
      </c>
      <c r="G15" s="22">
        <v>1</v>
      </c>
      <c r="H15" s="22">
        <v>5</v>
      </c>
      <c r="I15" s="22">
        <v>7</v>
      </c>
      <c r="J15" s="22">
        <v>5</v>
      </c>
      <c r="K15" s="30"/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30"/>
      <c r="V15" s="22">
        <v>2</v>
      </c>
      <c r="W15" s="22">
        <v>1</v>
      </c>
      <c r="X15" s="22">
        <v>3</v>
      </c>
      <c r="Y15" s="22">
        <v>9</v>
      </c>
      <c r="Z15" s="30"/>
      <c r="AA15" s="66">
        <v>1</v>
      </c>
      <c r="AB15" s="66">
        <v>1</v>
      </c>
      <c r="AC15" s="70">
        <v>0</v>
      </c>
    </row>
    <row r="16" spans="1:59" s="20" customFormat="1" x14ac:dyDescent="0.2">
      <c r="A16" s="6" t="s">
        <v>118</v>
      </c>
      <c r="B16" s="6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30"/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30"/>
      <c r="V16" s="22">
        <v>0</v>
      </c>
      <c r="W16" s="22">
        <v>0</v>
      </c>
      <c r="X16" s="22">
        <v>0</v>
      </c>
      <c r="Y16" s="22">
        <v>0</v>
      </c>
      <c r="Z16" s="30"/>
      <c r="AA16" s="42">
        <v>0</v>
      </c>
      <c r="AB16" s="42">
        <v>2</v>
      </c>
      <c r="AC16" s="40">
        <v>0</v>
      </c>
    </row>
    <row r="17" spans="1:29" s="6" customFormat="1" x14ac:dyDescent="0.2">
      <c r="A17" s="6" t="s">
        <v>74</v>
      </c>
      <c r="B17" s="6">
        <v>0</v>
      </c>
      <c r="C17" s="22">
        <v>4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30"/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30"/>
      <c r="V17" s="22">
        <v>0</v>
      </c>
      <c r="W17" s="22">
        <v>0</v>
      </c>
      <c r="X17" s="22">
        <v>0</v>
      </c>
      <c r="Y17" s="22">
        <v>0</v>
      </c>
      <c r="Z17" s="30"/>
      <c r="AA17" s="66">
        <v>2</v>
      </c>
      <c r="AB17" s="66">
        <v>2</v>
      </c>
      <c r="AC17" s="70">
        <v>2</v>
      </c>
    </row>
    <row r="18" spans="1:29" s="22" customFormat="1" x14ac:dyDescent="0.2">
      <c r="A18" s="22" t="s">
        <v>80</v>
      </c>
      <c r="B18" s="22">
        <v>0</v>
      </c>
      <c r="C18" s="22">
        <v>0</v>
      </c>
      <c r="D18" s="22">
        <v>0</v>
      </c>
      <c r="E18" s="22">
        <v>0</v>
      </c>
      <c r="F18" s="22">
        <v>2</v>
      </c>
      <c r="G18" s="22">
        <v>0</v>
      </c>
      <c r="H18" s="22">
        <v>2</v>
      </c>
      <c r="I18" s="22">
        <v>0</v>
      </c>
      <c r="J18" s="22">
        <v>0</v>
      </c>
      <c r="K18" s="30"/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30"/>
      <c r="V18" s="22">
        <v>0</v>
      </c>
      <c r="W18" s="22">
        <v>0</v>
      </c>
      <c r="X18" s="22">
        <v>0</v>
      </c>
      <c r="Y18" s="22">
        <v>0</v>
      </c>
      <c r="Z18" s="30"/>
      <c r="AA18" s="42">
        <v>2</v>
      </c>
      <c r="AB18" s="42">
        <v>3</v>
      </c>
      <c r="AC18" s="40">
        <v>2</v>
      </c>
    </row>
    <row r="19" spans="1:29" s="22" customFormat="1" x14ac:dyDescent="0.2">
      <c r="A19" s="22" t="s">
        <v>72</v>
      </c>
      <c r="B19" s="22">
        <v>9</v>
      </c>
      <c r="C19" s="22">
        <v>1</v>
      </c>
      <c r="D19" s="22">
        <v>2</v>
      </c>
      <c r="E19" s="22">
        <v>7</v>
      </c>
      <c r="F19" s="22">
        <v>2</v>
      </c>
      <c r="G19" s="22">
        <v>2</v>
      </c>
      <c r="H19" s="22">
        <v>3</v>
      </c>
      <c r="I19" s="22">
        <v>5</v>
      </c>
      <c r="J19" s="22">
        <v>4</v>
      </c>
      <c r="K19" s="30"/>
      <c r="L19" s="22">
        <v>8</v>
      </c>
      <c r="M19" s="22">
        <v>8</v>
      </c>
      <c r="N19" s="22">
        <v>8</v>
      </c>
      <c r="O19" s="22">
        <v>4</v>
      </c>
      <c r="P19" s="22">
        <v>2</v>
      </c>
      <c r="Q19" s="22">
        <v>2</v>
      </c>
      <c r="R19" s="22">
        <v>2</v>
      </c>
      <c r="S19" s="22">
        <v>0</v>
      </c>
      <c r="T19" s="22">
        <v>2</v>
      </c>
      <c r="U19" s="30"/>
      <c r="V19" s="22">
        <v>83</v>
      </c>
      <c r="W19" s="22">
        <v>54</v>
      </c>
      <c r="X19" s="22">
        <v>46</v>
      </c>
      <c r="Y19" s="22">
        <v>77</v>
      </c>
      <c r="Z19" s="30"/>
      <c r="AA19" s="66">
        <v>1</v>
      </c>
      <c r="AB19" s="66">
        <v>1</v>
      </c>
      <c r="AC19" s="70">
        <v>1</v>
      </c>
    </row>
    <row r="20" spans="1:29" s="6" customFormat="1" x14ac:dyDescent="0.2">
      <c r="A20" s="6" t="s">
        <v>77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5"/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5"/>
      <c r="V20" s="6">
        <v>0</v>
      </c>
      <c r="W20" s="6">
        <v>0</v>
      </c>
      <c r="X20" s="6">
        <v>0</v>
      </c>
      <c r="Y20" s="6">
        <v>0</v>
      </c>
      <c r="Z20" s="5"/>
      <c r="AA20" s="41">
        <v>0</v>
      </c>
      <c r="AB20" s="41">
        <v>0</v>
      </c>
      <c r="AC20" s="46">
        <v>0</v>
      </c>
    </row>
    <row r="21" spans="1:29" s="6" customFormat="1" x14ac:dyDescent="0.2">
      <c r="A21" s="6" t="s">
        <v>28</v>
      </c>
      <c r="B21" s="6">
        <v>8</v>
      </c>
      <c r="C21" s="22">
        <v>0</v>
      </c>
      <c r="D21" s="22">
        <v>0</v>
      </c>
      <c r="E21" s="22">
        <v>0</v>
      </c>
      <c r="F21" s="22">
        <v>4</v>
      </c>
      <c r="G21" s="22">
        <v>0</v>
      </c>
      <c r="H21" s="22">
        <v>4</v>
      </c>
      <c r="I21" s="22">
        <v>0</v>
      </c>
      <c r="J21" s="22">
        <v>0</v>
      </c>
      <c r="K21" s="30"/>
      <c r="L21" s="22">
        <v>1</v>
      </c>
      <c r="M21" s="22">
        <v>1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30"/>
      <c r="V21" s="22">
        <v>0</v>
      </c>
      <c r="W21" s="22">
        <v>0</v>
      </c>
      <c r="X21" s="33" t="s">
        <v>127</v>
      </c>
      <c r="Y21" s="22">
        <v>0</v>
      </c>
      <c r="Z21" s="30"/>
      <c r="AA21" s="66">
        <v>0</v>
      </c>
      <c r="AB21" s="66">
        <v>0</v>
      </c>
      <c r="AC21" s="70" t="s">
        <v>127</v>
      </c>
    </row>
    <row r="22" spans="1:29" s="6" customFormat="1" hidden="1" x14ac:dyDescent="0.2">
      <c r="A22" s="38"/>
      <c r="B22" s="38"/>
      <c r="C22" s="22"/>
      <c r="D22" s="22"/>
      <c r="E22" s="22"/>
      <c r="F22" s="22"/>
      <c r="G22" s="22"/>
      <c r="H22" s="22"/>
      <c r="I22" s="22"/>
      <c r="J22" s="22"/>
      <c r="K22" s="30"/>
      <c r="L22" s="22"/>
      <c r="M22" s="22"/>
      <c r="N22" s="22"/>
      <c r="O22" s="22"/>
      <c r="P22" s="22"/>
      <c r="Q22" s="22"/>
      <c r="R22" s="22"/>
      <c r="S22" s="22"/>
      <c r="T22" s="22"/>
      <c r="U22" s="30"/>
      <c r="V22" s="22"/>
      <c r="W22" s="22"/>
      <c r="X22" s="22"/>
      <c r="Y22" s="22"/>
      <c r="Z22" s="30"/>
      <c r="AA22" s="42"/>
      <c r="AB22" s="42"/>
      <c r="AC22" s="22"/>
    </row>
    <row r="23" spans="1:29" s="6" customFormat="1" x14ac:dyDescent="0.2">
      <c r="A23" s="6" t="s">
        <v>160</v>
      </c>
      <c r="B23" s="6" t="s">
        <v>177</v>
      </c>
      <c r="C23" s="6" t="s">
        <v>166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5"/>
      <c r="M23" s="6" t="s">
        <v>166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5"/>
      <c r="V23" s="6">
        <v>0</v>
      </c>
      <c r="W23" s="6" t="s">
        <v>166</v>
      </c>
      <c r="X23" s="6">
        <v>0</v>
      </c>
      <c r="Y23" s="6">
        <v>0</v>
      </c>
      <c r="Z23" s="30"/>
      <c r="AA23" s="63"/>
      <c r="AB23" s="63" t="s">
        <v>166</v>
      </c>
      <c r="AC23" s="42">
        <v>0</v>
      </c>
    </row>
    <row r="24" spans="1:29" s="6" customFormat="1" x14ac:dyDescent="0.2">
      <c r="A24" s="6" t="s">
        <v>61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5"/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5"/>
      <c r="V24" s="6">
        <v>0</v>
      </c>
      <c r="W24" s="6">
        <v>0</v>
      </c>
      <c r="X24" s="6">
        <v>0</v>
      </c>
      <c r="Y24" s="6">
        <v>0</v>
      </c>
      <c r="Z24" s="5"/>
      <c r="AA24" s="67">
        <v>0</v>
      </c>
      <c r="AB24" s="67">
        <v>0</v>
      </c>
      <c r="AC24" s="72">
        <v>0</v>
      </c>
    </row>
    <row r="25" spans="1:29" s="21" customFormat="1" x14ac:dyDescent="0.2">
      <c r="A25" s="6" t="s">
        <v>78</v>
      </c>
      <c r="B25" s="6">
        <v>3</v>
      </c>
      <c r="C25" s="22">
        <v>1</v>
      </c>
      <c r="D25" s="22">
        <v>1</v>
      </c>
      <c r="E25" s="22">
        <v>1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30"/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30"/>
      <c r="V25" s="22">
        <v>2</v>
      </c>
      <c r="W25" s="22">
        <v>6</v>
      </c>
      <c r="X25" s="22">
        <v>12</v>
      </c>
      <c r="Y25" s="22">
        <v>0</v>
      </c>
      <c r="Z25" s="30"/>
      <c r="AA25" s="42">
        <v>0</v>
      </c>
      <c r="AB25" s="42">
        <v>4</v>
      </c>
      <c r="AC25" s="40">
        <v>4</v>
      </c>
    </row>
    <row r="26" spans="1:29" s="6" customFormat="1" hidden="1" x14ac:dyDescent="0.2">
      <c r="A26" s="38" t="s">
        <v>29</v>
      </c>
      <c r="B26" s="38"/>
      <c r="C26" s="22"/>
      <c r="D26" s="22"/>
      <c r="E26" s="22"/>
      <c r="F26" s="22"/>
      <c r="G26" s="22">
        <v>0</v>
      </c>
      <c r="H26" s="22">
        <v>0</v>
      </c>
      <c r="I26" s="22">
        <v>0</v>
      </c>
      <c r="J26" s="22">
        <v>0</v>
      </c>
      <c r="K26" s="30"/>
      <c r="L26" s="22"/>
      <c r="M26" s="22"/>
      <c r="N26" s="22"/>
      <c r="O26" s="22"/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30"/>
      <c r="V26" s="22"/>
      <c r="W26" s="22"/>
      <c r="X26" s="22"/>
      <c r="Y26" s="22"/>
      <c r="Z26" s="30"/>
      <c r="AA26" s="42"/>
      <c r="AB26" s="42"/>
      <c r="AC26" s="40"/>
    </row>
    <row r="27" spans="1:29" s="6" customFormat="1" x14ac:dyDescent="0.2">
      <c r="A27" s="6" t="s">
        <v>176</v>
      </c>
      <c r="B27" s="6" t="s">
        <v>166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1</v>
      </c>
      <c r="J27" s="6">
        <v>1</v>
      </c>
      <c r="K27" s="5"/>
      <c r="L27" s="6" t="s">
        <v>166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5"/>
      <c r="V27" s="6" t="s">
        <v>177</v>
      </c>
      <c r="W27" s="6">
        <v>0</v>
      </c>
      <c r="X27" s="6">
        <v>0</v>
      </c>
      <c r="Y27" s="6">
        <v>1</v>
      </c>
      <c r="Z27" s="5"/>
      <c r="AA27" s="67">
        <v>0</v>
      </c>
      <c r="AB27" s="67">
        <v>0</v>
      </c>
      <c r="AC27" s="71">
        <v>0</v>
      </c>
    </row>
    <row r="28" spans="1:29" s="6" customFormat="1" x14ac:dyDescent="0.2">
      <c r="A28" s="6" t="s">
        <v>30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5"/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5"/>
      <c r="V28" s="6">
        <v>0</v>
      </c>
      <c r="W28" s="6">
        <v>0</v>
      </c>
      <c r="X28" s="6">
        <v>0</v>
      </c>
      <c r="Y28" s="6">
        <v>0</v>
      </c>
      <c r="Z28" s="5"/>
      <c r="AA28" s="41">
        <v>0</v>
      </c>
      <c r="AB28" s="41">
        <v>0</v>
      </c>
      <c r="AC28" s="46">
        <v>0</v>
      </c>
    </row>
    <row r="29" spans="1:29" s="19" customFormat="1" x14ac:dyDescent="0.2">
      <c r="A29" s="22" t="s">
        <v>31</v>
      </c>
      <c r="B29" s="22">
        <v>1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30"/>
      <c r="L29" s="22">
        <v>0</v>
      </c>
      <c r="M29" s="22">
        <v>1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30"/>
      <c r="V29" s="22">
        <v>0</v>
      </c>
      <c r="W29" s="22">
        <v>2</v>
      </c>
      <c r="X29" s="22">
        <v>2</v>
      </c>
      <c r="Y29" s="22">
        <v>6</v>
      </c>
      <c r="Z29" s="30"/>
      <c r="AA29" s="66">
        <v>2</v>
      </c>
      <c r="AB29" s="66">
        <v>2</v>
      </c>
      <c r="AC29" s="70">
        <v>2</v>
      </c>
    </row>
    <row r="30" spans="1:29" s="20" customFormat="1" x14ac:dyDescent="0.2">
      <c r="A30" s="22" t="s">
        <v>32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30"/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30"/>
      <c r="V30" s="22">
        <v>0</v>
      </c>
      <c r="W30" s="22">
        <v>0</v>
      </c>
      <c r="X30" s="22">
        <v>0</v>
      </c>
      <c r="Y30" s="22">
        <v>0</v>
      </c>
      <c r="Z30" s="30"/>
      <c r="AA30" s="42">
        <v>0</v>
      </c>
      <c r="AB30" s="42">
        <v>0</v>
      </c>
      <c r="AC30" s="40">
        <v>0</v>
      </c>
    </row>
    <row r="31" spans="1:29" s="19" customFormat="1" x14ac:dyDescent="0.2">
      <c r="A31" s="22" t="s">
        <v>33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4</v>
      </c>
      <c r="H31" s="22">
        <v>0</v>
      </c>
      <c r="I31" s="22">
        <v>0</v>
      </c>
      <c r="J31" s="22">
        <v>2</v>
      </c>
      <c r="K31" s="30"/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30"/>
      <c r="V31" s="22">
        <v>0</v>
      </c>
      <c r="W31" s="22">
        <v>0</v>
      </c>
      <c r="X31" s="22">
        <v>0</v>
      </c>
      <c r="Y31" s="22">
        <v>2</v>
      </c>
      <c r="Z31" s="30"/>
      <c r="AA31" s="66">
        <v>7</v>
      </c>
      <c r="AB31" s="66">
        <v>5</v>
      </c>
      <c r="AC31" s="70">
        <v>5</v>
      </c>
    </row>
    <row r="32" spans="1:29" s="22" customFormat="1" x14ac:dyDescent="0.2">
      <c r="A32" s="22" t="s">
        <v>34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30"/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30"/>
      <c r="V32" s="22">
        <v>0</v>
      </c>
      <c r="W32" s="22">
        <v>0</v>
      </c>
      <c r="X32" s="22">
        <v>0</v>
      </c>
      <c r="Y32" s="22">
        <v>0</v>
      </c>
      <c r="Z32" s="30"/>
      <c r="AA32" s="42">
        <v>0</v>
      </c>
      <c r="AB32" s="42">
        <v>0</v>
      </c>
      <c r="AC32" s="40">
        <v>0</v>
      </c>
    </row>
    <row r="33" spans="1:29" s="19" customFormat="1" x14ac:dyDescent="0.2">
      <c r="A33" s="22" t="s">
        <v>35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30"/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30"/>
      <c r="V33" s="22">
        <v>0</v>
      </c>
      <c r="W33" s="22">
        <v>0</v>
      </c>
      <c r="X33" s="22">
        <v>0</v>
      </c>
      <c r="Y33" s="22">
        <v>0</v>
      </c>
      <c r="Z33" s="30"/>
      <c r="AA33" s="66">
        <v>0</v>
      </c>
      <c r="AB33" s="66">
        <v>0</v>
      </c>
      <c r="AC33" s="70">
        <v>0</v>
      </c>
    </row>
    <row r="34" spans="1:29" s="19" customFormat="1" x14ac:dyDescent="0.2">
      <c r="A34" s="6" t="s">
        <v>59</v>
      </c>
      <c r="B34" s="6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30"/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30"/>
      <c r="V34" s="22">
        <v>0</v>
      </c>
      <c r="W34" s="22">
        <v>0</v>
      </c>
      <c r="X34" s="22">
        <v>0</v>
      </c>
      <c r="Y34" s="22">
        <v>0</v>
      </c>
      <c r="Z34" s="30"/>
      <c r="AA34" s="42">
        <v>0</v>
      </c>
      <c r="AB34" s="42">
        <v>0</v>
      </c>
      <c r="AC34" s="40">
        <v>0</v>
      </c>
    </row>
    <row r="35" spans="1:29" s="19" customFormat="1" x14ac:dyDescent="0.2">
      <c r="A35" s="6" t="s">
        <v>142</v>
      </c>
      <c r="B35" s="6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3</v>
      </c>
      <c r="J35" s="22">
        <v>3</v>
      </c>
      <c r="K35" s="30"/>
      <c r="L35" s="22">
        <v>2</v>
      </c>
      <c r="M35" s="22">
        <v>2</v>
      </c>
      <c r="N35" s="22">
        <v>2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30"/>
      <c r="V35" s="22">
        <v>2</v>
      </c>
      <c r="W35" s="22">
        <v>1</v>
      </c>
      <c r="X35" s="22">
        <v>0</v>
      </c>
      <c r="Y35" s="22">
        <v>2</v>
      </c>
      <c r="Z35" s="30"/>
      <c r="AA35" s="66">
        <v>1</v>
      </c>
      <c r="AB35" s="66">
        <v>0</v>
      </c>
      <c r="AC35" s="70">
        <v>0</v>
      </c>
    </row>
    <row r="36" spans="1:29" s="19" customFormat="1" x14ac:dyDescent="0.2">
      <c r="A36" s="6" t="s">
        <v>120</v>
      </c>
      <c r="B36" s="6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30"/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30"/>
      <c r="V36" s="22">
        <v>1</v>
      </c>
      <c r="W36" s="22">
        <v>3</v>
      </c>
      <c r="X36" s="22">
        <v>0</v>
      </c>
      <c r="Y36" s="22">
        <v>1</v>
      </c>
      <c r="Z36" s="30"/>
      <c r="AA36" s="42">
        <v>1</v>
      </c>
      <c r="AB36" s="42">
        <v>0</v>
      </c>
      <c r="AC36" s="40">
        <v>0</v>
      </c>
    </row>
    <row r="37" spans="1:29" s="19" customFormat="1" x14ac:dyDescent="0.2">
      <c r="A37" s="6" t="s">
        <v>36</v>
      </c>
      <c r="B37" s="20">
        <v>0</v>
      </c>
      <c r="C37" s="22">
        <v>0</v>
      </c>
      <c r="D37" s="22">
        <v>0</v>
      </c>
      <c r="E37" s="22">
        <v>4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30"/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30"/>
      <c r="V37" s="22">
        <v>0</v>
      </c>
      <c r="W37" s="22">
        <v>2</v>
      </c>
      <c r="X37" s="22">
        <v>0</v>
      </c>
      <c r="Y37" s="22">
        <v>2</v>
      </c>
      <c r="Z37" s="30"/>
      <c r="AA37" s="68">
        <v>4</v>
      </c>
      <c r="AB37" s="68">
        <v>4</v>
      </c>
      <c r="AC37" s="70">
        <v>5</v>
      </c>
    </row>
    <row r="38" spans="1:29" s="19" customFormat="1" x14ac:dyDescent="0.2">
      <c r="A38" s="22" t="s">
        <v>164</v>
      </c>
      <c r="B38" s="22">
        <v>0</v>
      </c>
      <c r="C38" s="22">
        <v>0</v>
      </c>
      <c r="D38" s="22">
        <v>0</v>
      </c>
      <c r="E38" s="22">
        <v>0</v>
      </c>
      <c r="F38" s="22">
        <v>1</v>
      </c>
      <c r="G38" s="22">
        <v>0</v>
      </c>
      <c r="H38" s="22">
        <v>0</v>
      </c>
      <c r="I38" s="22">
        <v>0</v>
      </c>
      <c r="J38" s="22">
        <v>0</v>
      </c>
      <c r="K38" s="30"/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30"/>
      <c r="V38" s="22">
        <v>78</v>
      </c>
      <c r="W38" s="22">
        <v>36</v>
      </c>
      <c r="X38" s="22">
        <v>15</v>
      </c>
      <c r="Y38" s="22">
        <v>52</v>
      </c>
      <c r="Z38" s="30"/>
      <c r="AA38" s="42">
        <v>0</v>
      </c>
      <c r="AB38" s="42">
        <v>0</v>
      </c>
      <c r="AC38" s="40">
        <v>70</v>
      </c>
    </row>
    <row r="39" spans="1:29" s="11" customFormat="1" x14ac:dyDescent="0.2">
      <c r="A39" s="11" t="s">
        <v>37</v>
      </c>
      <c r="B39" s="27">
        <f>SUM(B7:B38)</f>
        <v>36</v>
      </c>
      <c r="C39" s="27">
        <f t="shared" ref="C39:J39" si="0">SUBTOTAL(109,C5:C38)</f>
        <v>13</v>
      </c>
      <c r="D39" s="60">
        <f t="shared" si="0"/>
        <v>19</v>
      </c>
      <c r="E39" s="27">
        <f t="shared" si="0"/>
        <v>27</v>
      </c>
      <c r="F39" s="27">
        <f t="shared" si="0"/>
        <v>32</v>
      </c>
      <c r="G39" s="27">
        <f t="shared" si="0"/>
        <v>25</v>
      </c>
      <c r="H39" s="27">
        <f t="shared" si="0"/>
        <v>28</v>
      </c>
      <c r="I39" s="27">
        <f t="shared" si="0"/>
        <v>18</v>
      </c>
      <c r="J39" s="27">
        <f t="shared" si="0"/>
        <v>79</v>
      </c>
      <c r="K39" s="61"/>
      <c r="L39" s="27">
        <f>SUM(L7:L38)</f>
        <v>11</v>
      </c>
      <c r="M39" s="27">
        <f>SUBTOTAL(109,M5:M38)</f>
        <v>12</v>
      </c>
      <c r="N39" s="27">
        <f t="shared" ref="N39:S39" si="1">SUBTOTAL(109,N5:N38)</f>
        <v>10</v>
      </c>
      <c r="O39" s="27">
        <f t="shared" si="1"/>
        <v>4</v>
      </c>
      <c r="P39" s="27">
        <f t="shared" si="1"/>
        <v>2</v>
      </c>
      <c r="Q39" s="27">
        <f t="shared" si="1"/>
        <v>2</v>
      </c>
      <c r="R39" s="27">
        <f t="shared" si="1"/>
        <v>2</v>
      </c>
      <c r="S39" s="27">
        <f t="shared" si="1"/>
        <v>0</v>
      </c>
      <c r="T39" s="27">
        <f>SUBTOTAL(109,T5:T38)</f>
        <v>3</v>
      </c>
      <c r="U39" s="61"/>
      <c r="V39" s="27">
        <f>SUM(V7:V38)</f>
        <v>180</v>
      </c>
      <c r="W39" s="27">
        <f t="shared" ref="W39:Y39" si="2">SUM(W7:W38)</f>
        <v>121</v>
      </c>
      <c r="X39" s="27">
        <f t="shared" si="2"/>
        <v>85</v>
      </c>
      <c r="Y39" s="27">
        <f t="shared" si="2"/>
        <v>173</v>
      </c>
      <c r="Z39" s="61"/>
      <c r="AA39" s="69">
        <f>SUM(AA7:AA38)</f>
        <v>44</v>
      </c>
      <c r="AB39" s="69">
        <f>SUM(AB8:AB38)</f>
        <v>59</v>
      </c>
      <c r="AC39" s="86">
        <f>SUM(AC6:AC38)</f>
        <v>113</v>
      </c>
    </row>
    <row r="40" spans="1:29" x14ac:dyDescent="0.2">
      <c r="A40" s="25" t="s">
        <v>38</v>
      </c>
      <c r="B40" s="73"/>
      <c r="C40" s="34"/>
      <c r="D40" s="18"/>
    </row>
    <row r="41" spans="1:29" x14ac:dyDescent="0.2">
      <c r="A41" s="8" t="s">
        <v>128</v>
      </c>
      <c r="V41" s="35" t="s">
        <v>180</v>
      </c>
      <c r="W41" s="35"/>
      <c r="X41" s="35"/>
      <c r="Y41" s="11"/>
      <c r="Z41" s="35"/>
      <c r="AA41" s="35"/>
      <c r="AB41" s="35"/>
      <c r="AC41" s="6"/>
    </row>
    <row r="42" spans="1:29" x14ac:dyDescent="0.2">
      <c r="V42" s="35"/>
      <c r="W42" s="35"/>
      <c r="X42" s="35"/>
      <c r="Y42" s="35"/>
      <c r="Z42" s="35"/>
      <c r="AA42" s="35"/>
      <c r="AB42" s="35"/>
    </row>
    <row r="43" spans="1:29" x14ac:dyDescent="0.2">
      <c r="V43" s="35" t="s">
        <v>181</v>
      </c>
      <c r="W43" s="35"/>
      <c r="X43" s="35"/>
      <c r="Y43" s="35"/>
      <c r="Z43" s="35"/>
      <c r="AA43" s="35"/>
      <c r="AB43" s="35"/>
    </row>
  </sheetData>
  <sheetProtection algorithmName="SHA-512" hashValue="U/ByS9qhtOLfwmW6WwqNwZQmo/3stpBu0Gd7lvErSoiHijwmv4C1JjcfLeR/wOY9zTWnw1JSeUKxfgAB/OngYg==" saltValue="HnyyX6gJMHEbVyV7H1jzXw==" spinCount="100000" sheet="1"/>
  <pageMargins left="3.937007874015748E-2" right="3.937007874015748E-2" top="0.74803149606299213" bottom="0.74803149606299213" header="0.31496062992125984" footer="0.31496062992125984"/>
  <pageSetup paperSize="9" scale="53" firstPageNumber="0" fitToHeight="0" orientation="landscape" horizontalDpi="300" verticalDpi="300" r:id="rId1"/>
  <headerFooter alignWithMargins="0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4</vt:i4>
      </vt:variant>
    </vt:vector>
  </HeadingPairs>
  <TitlesOfParts>
    <vt:vector size="8" baseType="lpstr">
      <vt:lpstr>Tehtäväaloittain</vt:lpstr>
      <vt:lpstr>10-40 lähetystyöntekijät</vt:lpstr>
      <vt:lpstr>Maanosittain</vt:lpstr>
      <vt:lpstr>Määräaikaiset ja Suomeen läh</vt:lpstr>
      <vt:lpstr>'10-40 lähetystyöntekijät'!Tulostusalue</vt:lpstr>
      <vt:lpstr>Maanosittain!Tulostusalue</vt:lpstr>
      <vt:lpstr>'Määräaikaiset ja Suomeen läh'!Tulostusalue</vt:lpstr>
      <vt:lpstr>Tehtäväaloittain!Tulostusalue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Mustonen, Anni</dc:creator>
  <cp:lastModifiedBy>Mustonen Anni</cp:lastModifiedBy>
  <cp:lastPrinted>2017-08-17T11:00:05Z</cp:lastPrinted>
  <dcterms:created xsi:type="dcterms:W3CDTF">2014-03-16T15:55:06Z</dcterms:created>
  <dcterms:modified xsi:type="dcterms:W3CDTF">2018-08-26T11:52:13Z</dcterms:modified>
</cp:coreProperties>
</file>