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9495" activeTab="2"/>
  </bookViews>
  <sheets>
    <sheet name="Ilmoittautuminen" sheetId="1" r:id="rId1"/>
    <sheet name="16_4 kaavio" sheetId="2" r:id="rId2"/>
    <sheet name="Pelit" sheetId="3" r:id="rId3"/>
    <sheet name="Tulokset" sheetId="4" r:id="rId4"/>
    <sheet name="Lajittelu" sheetId="5" r:id="rId5"/>
    <sheet name="Pöytäkirjat" sheetId="6" r:id="rId6"/>
    <sheet name="Kuitit" sheetId="7" r:id="rId7"/>
    <sheet name="Ohjeet" sheetId="8" r:id="rId8"/>
  </sheets>
  <definedNames>
    <definedName name="_xlnm.Print_Area" localSheetId="1">'16_4 kaavio'!$A$1:$Q$60</definedName>
  </definedNames>
  <calcPr fullCalcOnLoad="1"/>
</workbook>
</file>

<file path=xl/sharedStrings.xml><?xml version="1.0" encoding="utf-8"?>
<sst xmlns="http://schemas.openxmlformats.org/spreadsheetml/2006/main" count="1313" uniqueCount="142">
  <si>
    <t>cup</t>
  </si>
  <si>
    <t>Finaali</t>
  </si>
  <si>
    <t>Nimi</t>
  </si>
  <si>
    <t>Seura</t>
  </si>
  <si>
    <t>Maksu</t>
  </si>
  <si>
    <t>Voittajat 2.k.</t>
  </si>
  <si>
    <t>Hävinneet 3.k.</t>
  </si>
  <si>
    <t xml:space="preserve">1/2 finaali </t>
  </si>
  <si>
    <t>Hävinneet 2.k.</t>
  </si>
  <si>
    <t>A3→</t>
  </si>
  <si>
    <t>A4→</t>
  </si>
  <si>
    <t>A1→</t>
  </si>
  <si>
    <t>A2→</t>
  </si>
  <si>
    <t>←A1</t>
  </si>
  <si>
    <t>←A2</t>
  </si>
  <si>
    <t>←A3</t>
  </si>
  <si>
    <t>←A4</t>
  </si>
  <si>
    <t>←B1</t>
  </si>
  <si>
    <t>←B2</t>
  </si>
  <si>
    <t>B2→</t>
  </si>
  <si>
    <t>B1→</t>
  </si>
  <si>
    <t>1/2 finaali</t>
  </si>
  <si>
    <t>voittoon</t>
  </si>
  <si>
    <t>Tulos</t>
  </si>
  <si>
    <t>vs</t>
  </si>
  <si>
    <t>Pelaaja</t>
  </si>
  <si>
    <t>-</t>
  </si>
  <si>
    <t>Hävinneiden puoli 2. kierros</t>
  </si>
  <si>
    <t>Voittajien puoli 2. Kierros</t>
  </si>
  <si>
    <t>Hävinneiden puoli 3. kierros</t>
  </si>
  <si>
    <t>Hävinneiden puoli 4. kierros</t>
  </si>
  <si>
    <t>Lopputulokset</t>
  </si>
  <si>
    <t xml:space="preserve">Finaali </t>
  </si>
  <si>
    <t>Sijat 5.-6.</t>
  </si>
  <si>
    <t>Sijat 7.-8.</t>
  </si>
  <si>
    <t>Sijat 9.-12.</t>
  </si>
  <si>
    <t>Sijat 13.-16.</t>
  </si>
  <si>
    <t>Pöytä nro:</t>
  </si>
  <si>
    <t xml:space="preserve">          </t>
  </si>
  <si>
    <t>1. p</t>
  </si>
  <si>
    <t>2. p</t>
  </si>
  <si>
    <t>3. p</t>
  </si>
  <si>
    <t>4. p</t>
  </si>
  <si>
    <t>5. p</t>
  </si>
  <si>
    <t>6. p</t>
  </si>
  <si>
    <t>7. p</t>
  </si>
  <si>
    <t>8. p</t>
  </si>
  <si>
    <t>9. p</t>
  </si>
  <si>
    <t>10. p</t>
  </si>
  <si>
    <t>11. p</t>
  </si>
  <si>
    <t>Kahdeksan sarja(t) peli nro:</t>
  </si>
  <si>
    <t xml:space="preserve">                                </t>
  </si>
  <si>
    <t>1. Kierros</t>
  </si>
  <si>
    <t>Yht.</t>
  </si>
  <si>
    <t>Kopioi keskustelupalstalle</t>
  </si>
  <si>
    <t>Voittajat 3.k.</t>
  </si>
  <si>
    <t>Voittajien puoli 3. Kierros</t>
  </si>
  <si>
    <t>Hävinneiden puoli 5. kierros</t>
  </si>
  <si>
    <t>Keräilyalue:</t>
  </si>
  <si>
    <t xml:space="preserve">Ottelut </t>
  </si>
  <si>
    <t xml:space="preserve"> Pelit</t>
  </si>
  <si>
    <t>Pallot</t>
  </si>
  <si>
    <t>Pelaaja1</t>
  </si>
  <si>
    <t>V</t>
  </si>
  <si>
    <t>H</t>
  </si>
  <si>
    <t>A</t>
  </si>
  <si>
    <t>B</t>
  </si>
  <si>
    <t>Pelaaja2</t>
  </si>
  <si>
    <t>C</t>
  </si>
  <si>
    <t>D</t>
  </si>
  <si>
    <t>Pelit</t>
  </si>
  <si>
    <t>Rgp</t>
  </si>
  <si>
    <t>Suhde</t>
  </si>
  <si>
    <t>Hävinneet 4.k.</t>
  </si>
  <si>
    <t>Hävinneet 5.k:</t>
  </si>
  <si>
    <t xml:space="preserve">Pelaaja 1: </t>
  </si>
  <si>
    <t xml:space="preserve">Pelaaja 2: </t>
  </si>
  <si>
    <t xml:space="preserve">                                   </t>
  </si>
  <si>
    <t>Aloitus, voittotulos:</t>
  </si>
  <si>
    <t>1/2 finaali sijat 3. Ja 4.</t>
  </si>
  <si>
    <t>Potinjako</t>
  </si>
  <si>
    <t>Lisenssimaksut SBiL:lle:</t>
  </si>
  <si>
    <t>Satunnaisluku</t>
  </si>
  <si>
    <t>Nuorta tai naista</t>
  </si>
  <si>
    <t>Aikuista</t>
  </si>
  <si>
    <t>Lisenssi</t>
  </si>
  <si>
    <t>Kotipaikka</t>
  </si>
  <si>
    <t>SBiL:lle 12,5% ja</t>
  </si>
  <si>
    <t>Järjestävälle seuralle 25%:</t>
  </si>
  <si>
    <t>Palkinnot 50%:</t>
  </si>
  <si>
    <t>BK</t>
  </si>
  <si>
    <t>3. Palkinto 15% palkintosummasta:</t>
  </si>
  <si>
    <t>1. Palkinto 55% palkintosummasta:</t>
  </si>
  <si>
    <t>2. Palkinto 30% palkintosummasta:</t>
  </si>
  <si>
    <t>Pyramidi RG1 Nevskaja, Kotka/KaKa</t>
  </si>
  <si>
    <t>Ottelut</t>
  </si>
  <si>
    <t>Pöytä:</t>
  </si>
  <si>
    <t>Pöytävärit:</t>
  </si>
  <si>
    <t>Odottaa:</t>
  </si>
  <si>
    <t>Pelissä:</t>
  </si>
  <si>
    <t>Peli ohi:</t>
  </si>
  <si>
    <t>&lt;----Pöytä:</t>
  </si>
  <si>
    <t>&lt;---Pöytä:</t>
  </si>
  <si>
    <t>Nimi Seura   OtteluVo-Hä    PeliVo-Hä(Suhde), PallotVo-Hä(Suhde)</t>
  </si>
  <si>
    <t>[b]</t>
  </si>
  <si>
    <t>[/b]</t>
  </si>
  <si>
    <t>NN</t>
  </si>
  <si>
    <t>Junioritoiminta 12,5%:</t>
  </si>
  <si>
    <t>Kuitti</t>
  </si>
  <si>
    <t>Järjestäjä:</t>
  </si>
  <si>
    <t>Pyriksen pelaajat ry.</t>
  </si>
  <si>
    <t>Paikka:</t>
  </si>
  <si>
    <t>Aika:</t>
  </si>
  <si>
    <t>5.-6.9.2008</t>
  </si>
  <si>
    <t>Osallistuja(t):</t>
  </si>
  <si>
    <t>Matti Meikäläinen</t>
  </si>
  <si>
    <t>Seura:</t>
  </si>
  <si>
    <t>PPK</t>
  </si>
  <si>
    <t>Osanottomaksu:</t>
  </si>
  <si>
    <t>Kuitataan maksetuksi</t>
  </si>
  <si>
    <t>Kokkolassa 4.11.2010</t>
  </si>
  <si>
    <t>Aimo Aivastus</t>
  </si>
  <si>
    <t>Osallistuja:</t>
  </si>
  <si>
    <t>Biljardisli</t>
  </si>
  <si>
    <t>Vain tämä sarake!!</t>
  </si>
  <si>
    <t>W.O.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</si>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</sst>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5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4"/>
      <color indexed="10"/>
      <name val="Arial"/>
      <family val="2"/>
    </font>
    <font>
      <sz val="2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164" fontId="17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5" fontId="0" fillId="0" borderId="0" xfId="0" applyNumberFormat="1" applyAlignment="1">
      <alignment/>
    </xf>
    <xf numFmtId="0" fontId="3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6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38" borderId="0" xfId="0" applyFont="1" applyFill="1" applyAlignment="1">
      <alignment horizontal="right"/>
    </xf>
    <xf numFmtId="0" fontId="0" fillId="38" borderId="35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39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right" vertical="center"/>
    </xf>
    <xf numFmtId="0" fontId="1" fillId="39" borderId="29" xfId="0" applyFont="1" applyFill="1" applyBorder="1" applyAlignment="1">
      <alignment horizontal="left" vertical="center"/>
    </xf>
    <xf numFmtId="0" fontId="1" fillId="39" borderId="18" xfId="0" applyFont="1" applyFill="1" applyBorder="1" applyAlignment="1">
      <alignment horizontal="left" vertical="center"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9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1" fillId="0" borderId="28" xfId="0" applyFont="1" applyBorder="1" applyAlignment="1">
      <alignment horizontal="left" vertical="center"/>
    </xf>
    <xf numFmtId="0" fontId="0" fillId="38" borderId="10" xfId="0" applyFont="1" applyFill="1" applyBorder="1" applyAlignment="1">
      <alignment horizontal="right"/>
    </xf>
    <xf numFmtId="0" fontId="0" fillId="38" borderId="0" xfId="0" applyFont="1" applyFill="1" applyBorder="1" applyAlignment="1">
      <alignment horizontal="right"/>
    </xf>
    <xf numFmtId="0" fontId="0" fillId="38" borderId="37" xfId="0" applyFont="1" applyFill="1" applyBorder="1" applyAlignment="1">
      <alignment horizontal="right"/>
    </xf>
    <xf numFmtId="0" fontId="1" fillId="0" borderId="2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" fillId="33" borderId="0" xfId="0" applyFont="1" applyFill="1" applyAlignment="1">
      <alignment horizontal="right"/>
    </xf>
    <xf numFmtId="0" fontId="1" fillId="0" borderId="3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34" borderId="4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9" fillId="0" borderId="33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left" vertical="center"/>
    </xf>
    <xf numFmtId="0" fontId="1" fillId="40" borderId="42" xfId="0" applyFont="1" applyFill="1" applyBorder="1" applyAlignment="1">
      <alignment horizontal="left" vertical="center"/>
    </xf>
    <xf numFmtId="0" fontId="0" fillId="34" borderId="43" xfId="0" applyFill="1" applyBorder="1" applyAlignment="1" applyProtection="1">
      <alignment horizontal="center"/>
      <protection locked="0"/>
    </xf>
    <xf numFmtId="0" fontId="1" fillId="39" borderId="42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" fillId="39" borderId="29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29" xfId="0" applyFont="1" applyFill="1" applyBorder="1" applyAlignment="1" applyProtection="1">
      <alignment horizontal="center" vertical="center"/>
      <protection locked="0"/>
    </xf>
    <xf numFmtId="0" fontId="1" fillId="39" borderId="18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1" fillId="40" borderId="47" xfId="0" applyFont="1" applyFill="1" applyBorder="1" applyAlignment="1">
      <alignment horizontal="center" vertical="center"/>
    </xf>
    <xf numFmtId="0" fontId="1" fillId="39" borderId="47" xfId="0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1" borderId="41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24" xfId="0" applyFont="1" applyBorder="1" applyAlignment="1" quotePrefix="1">
      <alignment horizontal="center" vertical="center"/>
    </xf>
    <xf numFmtId="0" fontId="13" fillId="0" borderId="52" xfId="0" applyFont="1" applyBorder="1" applyAlignment="1" quotePrefix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6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73"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ill>
        <patternFill>
          <bgColor theme="9" tint="0.5999600291252136"/>
        </patternFill>
      </fill>
    </dxf>
    <dxf>
      <fill>
        <patternFill>
          <bgColor rgb="FF33FF8F"/>
        </patternFill>
      </fill>
    </dxf>
    <dxf>
      <font>
        <color indexed="10"/>
      </font>
    </dxf>
    <dxf>
      <font>
        <b/>
        <i val="0"/>
      </font>
    </dxf>
    <dxf>
      <font>
        <b val="0"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95250</xdr:rowOff>
    </xdr:from>
    <xdr:to>
      <xdr:col>9</xdr:col>
      <xdr:colOff>504825</xdr:colOff>
      <xdr:row>6</xdr:row>
      <xdr:rowOff>142875</xdr:rowOff>
    </xdr:to>
    <xdr:sp>
      <xdr:nvSpPr>
        <xdr:cNvPr id="1" name="Tekstiruutu 2"/>
        <xdr:cNvSpPr txBox="1">
          <a:spLocks noChangeArrowheads="1"/>
        </xdr:cNvSpPr>
      </xdr:nvSpPr>
      <xdr:spPr>
        <a:xfrm>
          <a:off x="6124575" y="381000"/>
          <a:ext cx="1562100" cy="10096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Ennen kuin syötät mitään tietoa, tallenna taulukko uudelle nimelle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152400</xdr:rowOff>
    </xdr:from>
    <xdr:to>
      <xdr:col>8</xdr:col>
      <xdr:colOff>581025</xdr:colOff>
      <xdr:row>15</xdr:row>
      <xdr:rowOff>104775</xdr:rowOff>
    </xdr:to>
    <xdr:sp>
      <xdr:nvSpPr>
        <xdr:cNvPr id="1" name="Tekstiruutu 1"/>
        <xdr:cNvSpPr txBox="1">
          <a:spLocks noChangeArrowheads="1"/>
        </xdr:cNvSpPr>
      </xdr:nvSpPr>
      <xdr:spPr>
        <a:xfrm>
          <a:off x="190500" y="152400"/>
          <a:ext cx="526732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Ilmoittautuminen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-Anna kilpailulle nimi A1 soluun. Tämä linkittyy  taulukon muille sivuille.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-Syötä pelaajien nimet ilmoittautumisjärjestyksessä.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-Syötä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parhaan Rg-sijoitettavan pelaajan satunnailukukentässä olevan kaavan päälle luku 4,  toiseksi parhaan satunnaisluku soluun luku 3, kolmanneksi parhaalle luku 2 ja neljänneksi parhaalle luku 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-Muille pelaajille taulukko arpoo satunnaisluvut joiden arvo on aina pienempi kuin 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-Klikkaa F9 näppäintä, tämä arpoo satunnaisluvut uudelleen.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-Sovi mikä F9 painallus on arvonnan virallinen tulos ja klikkaa tämän jälkeen Arvonta-nappulaa. Makro lajittelee osanottajat siten, että suurimman luvun omaava pelaaja sijoittuu ylimmäiseksi, toiseksi suurimman seuraavaksi jne. Sijoitettavat pelaajat  tulevat siis neljään ylimpään ruutuun, muut satunnaislukujen suuruusjärjestyksessä.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-Pelaajat sijoittuvat automaattisesti  Kaavio-sivulle oikeille paikoilleen.
</a:t>
          </a:r>
        </a:p>
      </xdr:txBody>
    </xdr:sp>
    <xdr:clientData/>
  </xdr:twoCellAnchor>
  <xdr:twoCellAnchor>
    <xdr:from>
      <xdr:col>0</xdr:col>
      <xdr:colOff>200025</xdr:colOff>
      <xdr:row>16</xdr:row>
      <xdr:rowOff>57150</xdr:rowOff>
    </xdr:from>
    <xdr:to>
      <xdr:col>8</xdr:col>
      <xdr:colOff>581025</xdr:colOff>
      <xdr:row>28</xdr:row>
      <xdr:rowOff>85725</xdr:rowOff>
    </xdr:to>
    <xdr:sp>
      <xdr:nvSpPr>
        <xdr:cNvPr id="2" name="Tekstiruutu 2"/>
        <xdr:cNvSpPr txBox="1">
          <a:spLocks noChangeArrowheads="1"/>
        </xdr:cNvSpPr>
      </xdr:nvSpPr>
      <xdr:spPr>
        <a:xfrm>
          <a:off x="200025" y="2647950"/>
          <a:ext cx="525780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16_4 kaavio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-Syötä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kunkin kierroksen kohdalle voittoon tarvittavien pelien määrä. Tämän avulla pelin voittajan nimi tulee vahvennetuksi ja hävinneen nimi punaiseksi.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-Syötä tulokset pelaajien kohdalle. W.O. - W.O. tulos merkitään 0-0.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-Cup-peleihin päässeet sijoittuvat  1/4 finaalin ylempiin soluihin voittajien puolelta järjestyksessä. Alempiin soluihin pelaajat tulevathävinneiden puolelta  siten että suurimman satunnaisluvun saanut pelaa ylimmän voittajien puolen pelaajan kanssa.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-Jos pelajat ovat pelanneet  keskenään cup-peleihin pääsystä voittajien puolella, he eivät voi pelata keskenään 1/4 finaalissa, vaan tilalle tulee seuraavaksi suurimman satunnaisluvun omaava pelaaja.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-Arvo satunnaisluvut-nappula arpoo satunnaisluvut uudestaan.  Sovi ennen arvontaa mikä nappulan painallus jää virallisesti voimaan.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228600</xdr:colOff>
      <xdr:row>30</xdr:row>
      <xdr:rowOff>19050</xdr:rowOff>
    </xdr:from>
    <xdr:to>
      <xdr:col>8</xdr:col>
      <xdr:colOff>590550</xdr:colOff>
      <xdr:row>41</xdr:row>
      <xdr:rowOff>85725</xdr:rowOff>
    </xdr:to>
    <xdr:sp>
      <xdr:nvSpPr>
        <xdr:cNvPr id="3" name="Tekstiruutu 3"/>
        <xdr:cNvSpPr txBox="1">
          <a:spLocks noChangeArrowheads="1"/>
        </xdr:cNvSpPr>
      </xdr:nvSpPr>
      <xdr:spPr>
        <a:xfrm>
          <a:off x="228600" y="4876800"/>
          <a:ext cx="52387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Pelit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-Pelit-taulukko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hakee kierroksittain nimet ja tulokset 16_4 kaaviosta.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-Kunkin pelin jälkeen on syötettävä pelatut pallot pelipöytäkirjasta taulukkoon.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-Taulukko kerää pussitettujen pallojen perusteella  voitetut erät H- ja J-sarakkeisiin. Tuloksen täytyy olla sama, kuin kaaviosta saatu tulos C- ja E-sarakkeissa, muutoin pöytäkirjassa tai tulosten syöttämisessä on virhe.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-Tulos W.O.  vastustajana merkitään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H- ja  J-sarakkeissiin suoraan palloista tuloksia keräävän kaavan päälle. Pussitettujen pallojen solut jäävät tyhjiksi. Tämä menettely mahdollistaa tulosten lajittelun nykyisten sääntöjen mukaisesti oikein.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-AW-sarakkeeseen on kerätty pelikohtaiset tulokset nettiin kopiomista varten.
</a:t>
          </a:r>
        </a:p>
      </xdr:txBody>
    </xdr:sp>
    <xdr:clientData/>
  </xdr:twoCellAnchor>
  <xdr:twoCellAnchor>
    <xdr:from>
      <xdr:col>0</xdr:col>
      <xdr:colOff>209550</xdr:colOff>
      <xdr:row>41</xdr:row>
      <xdr:rowOff>152400</xdr:rowOff>
    </xdr:from>
    <xdr:to>
      <xdr:col>8</xdr:col>
      <xdr:colOff>590550</xdr:colOff>
      <xdr:row>44</xdr:row>
      <xdr:rowOff>142875</xdr:rowOff>
    </xdr:to>
    <xdr:sp>
      <xdr:nvSpPr>
        <xdr:cNvPr id="4" name="Tekstiruutu 4"/>
        <xdr:cNvSpPr txBox="1">
          <a:spLocks noChangeArrowheads="1"/>
        </xdr:cNvSpPr>
      </xdr:nvSpPr>
      <xdr:spPr>
        <a:xfrm>
          <a:off x="209550" y="6791325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Lopputulokset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Lopputlokset-taulukko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kerää pelit lehdeltä tiedot lajittelua varten.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209550</xdr:colOff>
      <xdr:row>45</xdr:row>
      <xdr:rowOff>57150</xdr:rowOff>
    </xdr:from>
    <xdr:to>
      <xdr:col>8</xdr:col>
      <xdr:colOff>590550</xdr:colOff>
      <xdr:row>53</xdr:row>
      <xdr:rowOff>85725</xdr:rowOff>
    </xdr:to>
    <xdr:sp>
      <xdr:nvSpPr>
        <xdr:cNvPr id="5" name="Tekstiruutu 5"/>
        <xdr:cNvSpPr txBox="1">
          <a:spLocks noChangeArrowheads="1"/>
        </xdr:cNvSpPr>
      </xdr:nvSpPr>
      <xdr:spPr>
        <a:xfrm>
          <a:off x="209550" y="7343775"/>
          <a:ext cx="52578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Lajittelu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-Lajittelu-talukon Keräile-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nappula hakee sen hetkisen tilanteen syötetyt pallot ja erät lajittelua varten Lopputulokset taulukosta.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-Lajittele-nappula lajittelee tulokset paremmuusjärjestykseen.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-Keräilyn ja lajittelun voi tehdä myös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ennen loppupelejä, jolloin pelistä pudonneiden järjestyksen saa välituloksena selville.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-O-sarakkeeseen on kerätty tulokset nettiin kopiomista varten.</a:t>
          </a:r>
        </a:p>
      </xdr:txBody>
    </xdr:sp>
    <xdr:clientData/>
  </xdr:twoCellAnchor>
  <xdr:twoCellAnchor>
    <xdr:from>
      <xdr:col>0</xdr:col>
      <xdr:colOff>190500</xdr:colOff>
      <xdr:row>54</xdr:row>
      <xdr:rowOff>19050</xdr:rowOff>
    </xdr:from>
    <xdr:to>
      <xdr:col>8</xdr:col>
      <xdr:colOff>571500</xdr:colOff>
      <xdr:row>58</xdr:row>
      <xdr:rowOff>152400</xdr:rowOff>
    </xdr:to>
    <xdr:sp>
      <xdr:nvSpPr>
        <xdr:cNvPr id="6" name="Tekstiruutu 6"/>
        <xdr:cNvSpPr txBox="1">
          <a:spLocks noChangeArrowheads="1"/>
        </xdr:cNvSpPr>
      </xdr:nvSpPr>
      <xdr:spPr>
        <a:xfrm>
          <a:off x="190500" y="8763000"/>
          <a:ext cx="525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Pöytäkirjat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-Tulosta pöytäkirjat maalamalla haluttu alue ja käyttämällä  muotoa tulosta-&gt;valinta. Nyt voit samalla maalauksella muotoilla solulen taustan tai tekstin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värilliseksi merkiksi siitä että ne on jo tulostettu.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H2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00390625" style="0" customWidth="1"/>
    <col min="2" max="2" width="26.7109375" style="0" customWidth="1"/>
    <col min="4" max="4" width="13.28125" style="0" customWidth="1"/>
    <col min="5" max="5" width="17.140625" style="0" customWidth="1"/>
    <col min="7" max="7" width="10.00390625" style="0" customWidth="1"/>
  </cols>
  <sheetData>
    <row r="1" spans="1:7" ht="22.5" customHeight="1">
      <c r="A1" s="10" t="s">
        <v>94</v>
      </c>
      <c r="B1" s="6"/>
      <c r="C1" s="6"/>
      <c r="D1" s="6"/>
      <c r="E1" s="6"/>
      <c r="F1" s="6"/>
      <c r="G1" s="6"/>
    </row>
    <row r="2" spans="1:7" ht="15.75">
      <c r="A2" s="17"/>
      <c r="B2" s="17" t="s">
        <v>2</v>
      </c>
      <c r="C2" s="17" t="s">
        <v>3</v>
      </c>
      <c r="D2" s="17" t="s">
        <v>86</v>
      </c>
      <c r="E2" s="17" t="s">
        <v>82</v>
      </c>
      <c r="F2" s="17" t="s">
        <v>4</v>
      </c>
      <c r="G2" s="17" t="s">
        <v>85</v>
      </c>
    </row>
    <row r="3" spans="1:7" ht="15">
      <c r="A3" s="18">
        <v>1</v>
      </c>
      <c r="B3" s="18" t="s">
        <v>106</v>
      </c>
      <c r="C3" s="18" t="s">
        <v>90</v>
      </c>
      <c r="D3" s="18"/>
      <c r="E3" s="18">
        <f ca="1">IF(B3="W.O.",0,RAND())</f>
        <v>0.822960261266243</v>
      </c>
      <c r="F3" s="18"/>
      <c r="G3" s="18"/>
    </row>
    <row r="4" spans="1:7" ht="15">
      <c r="A4" s="18">
        <v>2</v>
      </c>
      <c r="B4" s="18" t="s">
        <v>125</v>
      </c>
      <c r="C4" s="18"/>
      <c r="D4" s="18"/>
      <c r="E4" s="18">
        <f aca="true" ca="1" t="shared" si="0" ref="E4:E18">IF(B4="W.O.",0,RAND())</f>
        <v>0</v>
      </c>
      <c r="F4" s="18"/>
      <c r="G4" s="18"/>
    </row>
    <row r="5" spans="1:7" ht="15">
      <c r="A5" s="18">
        <v>3</v>
      </c>
      <c r="B5" s="18" t="s">
        <v>125</v>
      </c>
      <c r="C5" s="18"/>
      <c r="D5" s="18"/>
      <c r="E5" s="18">
        <f ca="1" t="shared" si="0"/>
        <v>0</v>
      </c>
      <c r="F5" s="18"/>
      <c r="G5" s="18"/>
    </row>
    <row r="6" spans="1:7" ht="15">
      <c r="A6" s="18">
        <v>4</v>
      </c>
      <c r="B6" s="18" t="s">
        <v>125</v>
      </c>
      <c r="C6" s="18"/>
      <c r="D6" s="18"/>
      <c r="E6" s="18">
        <f ca="1" t="shared" si="0"/>
        <v>0</v>
      </c>
      <c r="F6" s="18"/>
      <c r="G6" s="18"/>
    </row>
    <row r="7" spans="1:7" ht="15">
      <c r="A7" s="18">
        <v>5</v>
      </c>
      <c r="B7" s="18" t="s">
        <v>125</v>
      </c>
      <c r="C7" s="18"/>
      <c r="D7" s="18"/>
      <c r="E7" s="18">
        <f ca="1" t="shared" si="0"/>
        <v>0</v>
      </c>
      <c r="F7" s="18"/>
      <c r="G7" s="18"/>
    </row>
    <row r="8" spans="1:7" ht="15">
      <c r="A8" s="18">
        <v>6</v>
      </c>
      <c r="B8" s="18" t="s">
        <v>125</v>
      </c>
      <c r="C8" s="18"/>
      <c r="D8" s="18"/>
      <c r="E8" s="18">
        <f ca="1" t="shared" si="0"/>
        <v>0</v>
      </c>
      <c r="F8" s="18"/>
      <c r="G8" s="18"/>
    </row>
    <row r="9" spans="1:7" ht="15">
      <c r="A9" s="18">
        <v>7</v>
      </c>
      <c r="B9" s="18" t="s">
        <v>125</v>
      </c>
      <c r="C9" s="18"/>
      <c r="D9" s="18"/>
      <c r="E9" s="18">
        <f ca="1" t="shared" si="0"/>
        <v>0</v>
      </c>
      <c r="F9" s="18"/>
      <c r="G9" s="18"/>
    </row>
    <row r="10" spans="1:7" ht="15">
      <c r="A10" s="18">
        <v>8</v>
      </c>
      <c r="B10" s="18" t="s">
        <v>125</v>
      </c>
      <c r="C10" s="18"/>
      <c r="D10" s="18"/>
      <c r="E10" s="18">
        <f ca="1" t="shared" si="0"/>
        <v>0</v>
      </c>
      <c r="F10" s="18"/>
      <c r="G10" s="18"/>
    </row>
    <row r="11" spans="1:7" ht="15">
      <c r="A11" s="18">
        <v>9</v>
      </c>
      <c r="B11" s="18" t="s">
        <v>125</v>
      </c>
      <c r="C11" s="18"/>
      <c r="D11" s="18"/>
      <c r="E11" s="18">
        <f ca="1" t="shared" si="0"/>
        <v>0</v>
      </c>
      <c r="F11" s="18"/>
      <c r="G11" s="18"/>
    </row>
    <row r="12" spans="1:7" ht="15">
      <c r="A12" s="18">
        <v>10</v>
      </c>
      <c r="B12" s="18" t="s">
        <v>125</v>
      </c>
      <c r="C12" s="18"/>
      <c r="D12" s="18"/>
      <c r="E12" s="18">
        <f ca="1" t="shared" si="0"/>
        <v>0</v>
      </c>
      <c r="F12" s="18"/>
      <c r="G12" s="18"/>
    </row>
    <row r="13" spans="1:7" ht="15">
      <c r="A13" s="18">
        <v>11</v>
      </c>
      <c r="B13" s="18" t="s">
        <v>125</v>
      </c>
      <c r="C13" s="18"/>
      <c r="D13" s="18"/>
      <c r="E13" s="18">
        <f ca="1" t="shared" si="0"/>
        <v>0</v>
      </c>
      <c r="F13" s="18"/>
      <c r="G13" s="18"/>
    </row>
    <row r="14" spans="1:7" ht="15">
      <c r="A14" s="18">
        <v>12</v>
      </c>
      <c r="B14" s="18" t="s">
        <v>125</v>
      </c>
      <c r="C14" s="18"/>
      <c r="D14" s="19"/>
      <c r="E14" s="18">
        <f ca="1" t="shared" si="0"/>
        <v>0</v>
      </c>
      <c r="F14" s="18"/>
      <c r="G14" s="18"/>
    </row>
    <row r="15" spans="1:7" ht="15">
      <c r="A15" s="18">
        <v>13</v>
      </c>
      <c r="B15" s="18" t="s">
        <v>125</v>
      </c>
      <c r="C15" s="18"/>
      <c r="D15" s="18"/>
      <c r="E15" s="18">
        <f ca="1" t="shared" si="0"/>
        <v>0</v>
      </c>
      <c r="F15" s="18"/>
      <c r="G15" s="18"/>
    </row>
    <row r="16" spans="1:7" ht="15">
      <c r="A16" s="18">
        <v>14</v>
      </c>
      <c r="B16" s="18" t="s">
        <v>125</v>
      </c>
      <c r="C16" s="18"/>
      <c r="D16" s="18"/>
      <c r="E16" s="18">
        <f ca="1" t="shared" si="0"/>
        <v>0</v>
      </c>
      <c r="F16" s="18"/>
      <c r="G16" s="18"/>
    </row>
    <row r="17" spans="1:7" ht="15">
      <c r="A17" s="18">
        <v>15</v>
      </c>
      <c r="B17" s="18" t="s">
        <v>125</v>
      </c>
      <c r="C17" s="18"/>
      <c r="D17" s="18"/>
      <c r="E17" s="18">
        <f ca="1" t="shared" si="0"/>
        <v>0</v>
      </c>
      <c r="F17" s="18"/>
      <c r="G17" s="18"/>
    </row>
    <row r="18" spans="1:7" ht="15">
      <c r="A18" s="18">
        <v>16</v>
      </c>
      <c r="B18" s="18" t="s">
        <v>125</v>
      </c>
      <c r="C18" s="18"/>
      <c r="D18" s="18"/>
      <c r="E18" s="18">
        <f ca="1" t="shared" si="0"/>
        <v>0</v>
      </c>
      <c r="F18" s="18"/>
      <c r="G18" s="18"/>
    </row>
    <row r="19" spans="1:7" ht="12.75">
      <c r="A19" s="56">
        <f>COUNTIF(F3:F18,20)</f>
        <v>0</v>
      </c>
      <c r="B19" s="56" t="s">
        <v>83</v>
      </c>
      <c r="C19" s="57">
        <f>COUNTIF(F3:F18,40)</f>
        <v>0</v>
      </c>
      <c r="D19" s="57" t="s">
        <v>84</v>
      </c>
      <c r="F19">
        <f>SUM(F3:F18)</f>
        <v>0</v>
      </c>
      <c r="G19">
        <f>SUM(G3:G18)</f>
        <v>0</v>
      </c>
    </row>
    <row r="20" spans="5:7" ht="15.75">
      <c r="E20" s="52"/>
      <c r="F20" s="53" t="s">
        <v>80</v>
      </c>
      <c r="G20" s="54"/>
    </row>
    <row r="21" spans="5:7" ht="15">
      <c r="E21" s="6"/>
      <c r="F21" s="55" t="s">
        <v>81</v>
      </c>
      <c r="G21" s="54">
        <f>G19</f>
        <v>0</v>
      </c>
    </row>
    <row r="22" spans="5:7" ht="15">
      <c r="E22" s="6"/>
      <c r="F22" s="55" t="s">
        <v>87</v>
      </c>
      <c r="G22" s="54">
        <f>0.125*$F$19</f>
        <v>0</v>
      </c>
    </row>
    <row r="23" spans="5:7" ht="15">
      <c r="E23" s="6"/>
      <c r="F23" s="55" t="s">
        <v>107</v>
      </c>
      <c r="G23" s="54">
        <f>0.125*$F$19</f>
        <v>0</v>
      </c>
    </row>
    <row r="24" spans="5:7" ht="15">
      <c r="E24" s="6"/>
      <c r="F24" s="55" t="s">
        <v>88</v>
      </c>
      <c r="G24" s="54">
        <f>0.25*$F$19</f>
        <v>0</v>
      </c>
    </row>
    <row r="25" spans="5:8" ht="15">
      <c r="E25" s="6"/>
      <c r="F25" s="55" t="s">
        <v>89</v>
      </c>
      <c r="G25" s="54">
        <f>0.5*$F$19</f>
        <v>0</v>
      </c>
      <c r="H25" s="58"/>
    </row>
    <row r="26" spans="5:7" ht="15">
      <c r="E26" s="6"/>
      <c r="F26" s="55" t="s">
        <v>92</v>
      </c>
      <c r="G26" s="54">
        <f>0.55*$G$25</f>
        <v>0</v>
      </c>
    </row>
    <row r="27" spans="5:7" ht="15">
      <c r="E27" s="6"/>
      <c r="F27" s="55" t="s">
        <v>93</v>
      </c>
      <c r="G27" s="54">
        <f>0.3*$G$25</f>
        <v>0</v>
      </c>
    </row>
    <row r="28" spans="6:8" ht="15">
      <c r="F28" s="55" t="s">
        <v>91</v>
      </c>
      <c r="G28" s="54">
        <f>0.15*$G$25</f>
        <v>0</v>
      </c>
      <c r="H28" s="58"/>
    </row>
  </sheetData>
  <sheetProtection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233"/>
  <sheetViews>
    <sheetView zoomScalePageLayoutView="0" workbookViewId="0" topLeftCell="A1">
      <selection activeCell="P31" sqref="P31:P34"/>
    </sheetView>
  </sheetViews>
  <sheetFormatPr defaultColWidth="9.140625" defaultRowHeight="7.5" customHeight="1"/>
  <cols>
    <col min="1" max="1" width="3.140625" style="0" customWidth="1"/>
    <col min="2" max="2" width="15.28125" style="0" customWidth="1"/>
    <col min="3" max="3" width="3.00390625" style="0" customWidth="1"/>
    <col min="4" max="4" width="15.57421875" style="0" customWidth="1"/>
    <col min="5" max="5" width="2.8515625" style="0" customWidth="1"/>
    <col min="6" max="6" width="16.421875" style="0" customWidth="1"/>
    <col min="7" max="7" width="3.421875" style="0" customWidth="1"/>
    <col min="8" max="8" width="15.00390625" style="0" customWidth="1"/>
    <col min="9" max="9" width="3.28125" style="0" customWidth="1"/>
    <col min="10" max="10" width="19.8515625" style="0" customWidth="1"/>
    <col min="11" max="11" width="4.28125" style="0" customWidth="1"/>
    <col min="12" max="12" width="3.28125" style="0" customWidth="1"/>
    <col min="13" max="13" width="17.421875" style="0" customWidth="1"/>
    <col min="14" max="14" width="3.140625" style="4" customWidth="1"/>
    <col min="15" max="15" width="16.421875" style="0" customWidth="1"/>
    <col min="16" max="16" width="2.8515625" style="4" bestFit="1" customWidth="1"/>
    <col min="17" max="17" width="3.00390625" style="0" customWidth="1"/>
    <col min="19" max="19" width="19.28125" style="0" customWidth="1"/>
    <col min="20" max="20" width="5.140625" style="0" customWidth="1"/>
    <col min="24" max="24" width="17.140625" style="0" customWidth="1"/>
  </cols>
  <sheetData>
    <row r="1" spans="1:16" ht="12" customHeight="1">
      <c r="A1" s="22"/>
      <c r="B1" s="22"/>
      <c r="C1" s="22"/>
      <c r="D1" s="22"/>
      <c r="E1" s="140" t="str">
        <f>Ilmoittautuminen!A1</f>
        <v>Pyramidi RG1 Nevskaja, Kotka/KaKa</v>
      </c>
      <c r="F1" s="140"/>
      <c r="G1" s="140"/>
      <c r="H1" s="140"/>
      <c r="I1" s="140"/>
      <c r="J1" s="140"/>
      <c r="K1" s="140"/>
      <c r="L1" s="140"/>
      <c r="M1" s="140"/>
      <c r="N1" s="140"/>
      <c r="O1" s="21"/>
      <c r="P1" s="21"/>
    </row>
    <row r="2" spans="1:16" ht="12" customHeight="1">
      <c r="A2" s="22"/>
      <c r="B2" s="22"/>
      <c r="C2" s="22"/>
      <c r="D2" s="22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21"/>
      <c r="P2" s="21"/>
    </row>
    <row r="3" spans="1:16" ht="12" customHeight="1">
      <c r="A3" s="22"/>
      <c r="B3" s="22"/>
      <c r="C3" s="22"/>
      <c r="D3" s="22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21"/>
      <c r="P3" s="21"/>
    </row>
    <row r="4" spans="2:16" ht="15.75">
      <c r="B4" s="3" t="s">
        <v>74</v>
      </c>
      <c r="C4" s="50"/>
      <c r="D4" s="3" t="s">
        <v>73</v>
      </c>
      <c r="E4" s="50"/>
      <c r="F4" s="3" t="s">
        <v>6</v>
      </c>
      <c r="G4" s="50"/>
      <c r="H4" s="3" t="s">
        <v>8</v>
      </c>
      <c r="I4" s="50"/>
      <c r="J4" s="130" t="s">
        <v>78</v>
      </c>
      <c r="K4" s="130"/>
      <c r="L4" s="51"/>
      <c r="M4" s="3" t="s">
        <v>5</v>
      </c>
      <c r="N4" s="50"/>
      <c r="O4" s="3" t="s">
        <v>55</v>
      </c>
      <c r="P4" s="50"/>
    </row>
    <row r="6" spans="10:16" ht="7.5" customHeight="1">
      <c r="J6" s="94" t="s">
        <v>96</v>
      </c>
      <c r="K6" s="94"/>
      <c r="L6" s="79"/>
      <c r="O6" s="81" t="s">
        <v>97</v>
      </c>
      <c r="P6" s="81"/>
    </row>
    <row r="7" spans="10:16" ht="7.5" customHeight="1">
      <c r="J7" s="95"/>
      <c r="K7" s="95"/>
      <c r="L7" s="80"/>
      <c r="O7" s="81"/>
      <c r="P7" s="81"/>
    </row>
    <row r="8" spans="6:16" ht="7.5" customHeight="1">
      <c r="F8" s="1"/>
      <c r="G8" s="1"/>
      <c r="H8" s="1"/>
      <c r="I8" s="1"/>
      <c r="J8" s="98" t="str">
        <f>Ilmoittautuminen!B3</f>
        <v>NN</v>
      </c>
      <c r="K8" s="99" t="str">
        <f>IF(ISBLANK(Ilmoittautuminen!C3),"",Ilmoittautuminen!C3)</f>
        <v>BK</v>
      </c>
      <c r="L8" s="88"/>
      <c r="M8" s="1"/>
      <c r="N8" s="5"/>
      <c r="O8" s="77" t="s">
        <v>98</v>
      </c>
      <c r="P8" s="82"/>
    </row>
    <row r="9" spans="2:16" ht="7.5" customHeight="1">
      <c r="B9" s="109" t="s">
        <v>21</v>
      </c>
      <c r="C9" s="111"/>
      <c r="D9" s="113" t="s">
        <v>22</v>
      </c>
      <c r="F9" s="92" t="s">
        <v>96</v>
      </c>
      <c r="G9" s="79"/>
      <c r="H9" s="92" t="s">
        <v>96</v>
      </c>
      <c r="I9" s="79"/>
      <c r="J9" s="98"/>
      <c r="K9" s="99"/>
      <c r="L9" s="88"/>
      <c r="M9" s="92" t="s">
        <v>96</v>
      </c>
      <c r="N9" s="79"/>
      <c r="O9" s="78"/>
      <c r="P9" s="83"/>
    </row>
    <row r="10" spans="2:16" ht="7.5" customHeight="1">
      <c r="B10" s="110"/>
      <c r="C10" s="112"/>
      <c r="D10" s="113"/>
      <c r="F10" s="93"/>
      <c r="G10" s="80"/>
      <c r="H10" s="93"/>
      <c r="I10" s="80"/>
      <c r="J10" s="98" t="str">
        <f>Ilmoittautuminen!B18</f>
        <v>W.O.</v>
      </c>
      <c r="K10" s="99">
        <f>IF(ISBLANK(Ilmoittautuminen!C18),"",Ilmoittautuminen!C18)</f>
      </c>
      <c r="L10" s="88"/>
      <c r="M10" s="93"/>
      <c r="N10" s="80"/>
      <c r="O10" s="77" t="s">
        <v>99</v>
      </c>
      <c r="P10" s="84"/>
    </row>
    <row r="11" spans="3:16" ht="7.5" customHeight="1">
      <c r="C11" s="7"/>
      <c r="F11" s="119">
        <f>IF(AND(ISNUMBER(I11),I11&gt;I13),H11,IF(ISNUMBER(I13),H13,""))</f>
      </c>
      <c r="G11" s="88"/>
      <c r="H11" s="91">
        <f>IF(AND(ISNUMBER(L8),L8&lt;L10),J8,IF(ISNUMBER(L10),J10,""))</f>
      </c>
      <c r="I11" s="88"/>
      <c r="J11" s="98"/>
      <c r="K11" s="99"/>
      <c r="L11" s="88"/>
      <c r="M11" s="90">
        <f>IF(AND(ISNUMBER(L8),L8&gt;L10),J8,IF(ISNUMBER(L10),J10,""))</f>
      </c>
      <c r="N11" s="89"/>
      <c r="O11" s="78"/>
      <c r="P11" s="85"/>
    </row>
    <row r="12" spans="2:16" ht="7.5" customHeight="1">
      <c r="B12" s="110" t="s">
        <v>1</v>
      </c>
      <c r="C12" s="111"/>
      <c r="D12" s="113" t="s">
        <v>22</v>
      </c>
      <c r="F12" s="119"/>
      <c r="G12" s="88"/>
      <c r="H12" s="91"/>
      <c r="I12" s="88"/>
      <c r="J12" s="96" t="s">
        <v>96</v>
      </c>
      <c r="K12" s="96"/>
      <c r="L12" s="79"/>
      <c r="M12" s="91"/>
      <c r="N12" s="89"/>
      <c r="O12" s="77" t="s">
        <v>100</v>
      </c>
      <c r="P12" s="86"/>
    </row>
    <row r="13" spans="2:16" ht="7.5" customHeight="1">
      <c r="B13" s="110"/>
      <c r="C13" s="112"/>
      <c r="D13" s="113"/>
      <c r="F13" s="119">
        <f>IF(AND(ISNUMBER(N39),N39&lt;N41),M39,(IF(ISNUMBER(N41),M41,"")))</f>
      </c>
      <c r="G13" s="88"/>
      <c r="H13" s="91">
        <f>IF(AND(ISNUMBER(L14),L14&lt;L16),J14,IF(ISNUMBER(L16),J16,""))</f>
      </c>
      <c r="I13" s="88"/>
      <c r="J13" s="97"/>
      <c r="K13" s="97"/>
      <c r="L13" s="80"/>
      <c r="M13" s="91">
        <f>IF(AND(ISNUMBER(L14),L14&gt;L16),J14,IF(ISNUMBER(L16),J16,""))</f>
      </c>
      <c r="N13" s="89"/>
      <c r="O13" s="78"/>
      <c r="P13" s="87"/>
    </row>
    <row r="14" spans="6:14" ht="7.5" customHeight="1">
      <c r="F14" s="119"/>
      <c r="G14" s="88"/>
      <c r="H14" s="91"/>
      <c r="I14" s="88"/>
      <c r="J14" s="98" t="str">
        <f>Ilmoittautuminen!B11</f>
        <v>W.O.</v>
      </c>
      <c r="K14" s="99">
        <f>IF(ISBLANK(Ilmoittautuminen!C11),"",Ilmoittautuminen!C11)</f>
      </c>
      <c r="L14" s="88"/>
      <c r="M14" s="90"/>
      <c r="N14" s="89"/>
    </row>
    <row r="15" spans="2:16" ht="7.5" customHeight="1">
      <c r="B15" s="128" t="s">
        <v>96</v>
      </c>
      <c r="C15" s="79"/>
      <c r="D15" s="92" t="s">
        <v>96</v>
      </c>
      <c r="E15" s="149"/>
      <c r="F15" s="139" t="s">
        <v>9</v>
      </c>
      <c r="G15" s="1"/>
      <c r="H15" s="1"/>
      <c r="I15" s="1"/>
      <c r="J15" s="98"/>
      <c r="K15" s="99"/>
      <c r="L15" s="88"/>
      <c r="M15" s="101" t="s">
        <v>13</v>
      </c>
      <c r="N15" s="9"/>
      <c r="O15" s="92" t="s">
        <v>96</v>
      </c>
      <c r="P15" s="79"/>
    </row>
    <row r="16" spans="2:16" ht="7.5" customHeight="1">
      <c r="B16" s="129"/>
      <c r="C16" s="80"/>
      <c r="D16" s="93"/>
      <c r="E16" s="150"/>
      <c r="F16" s="139"/>
      <c r="G16" s="1"/>
      <c r="H16" s="1"/>
      <c r="I16" s="1"/>
      <c r="J16" s="98" t="str">
        <f>Ilmoittautuminen!B10</f>
        <v>W.O.</v>
      </c>
      <c r="K16" s="99">
        <f>IF(ISBLANK(Ilmoittautuminen!C10),"",Ilmoittautuminen!C10)</f>
      </c>
      <c r="L16" s="88"/>
      <c r="M16" s="101"/>
      <c r="N16" s="9"/>
      <c r="O16" s="93"/>
      <c r="P16" s="80"/>
    </row>
    <row r="17" spans="1:17" ht="7.5" customHeight="1">
      <c r="A17" s="114" t="s">
        <v>0</v>
      </c>
      <c r="B17" s="91">
        <f>IF(AND(ISNUMBER(E17),E17&gt;E19),D17,IF(ISNUMBER(E19),D19,""))</f>
      </c>
      <c r="C17" s="88"/>
      <c r="D17" s="91">
        <f>IF(AND(ISNUMBER(G11),G11&gt;G13),F11,IF(ISNUMBER(G13),F13,""))</f>
      </c>
      <c r="E17" s="103"/>
      <c r="F17" s="2"/>
      <c r="G17" s="1"/>
      <c r="H17" s="1"/>
      <c r="I17" s="1"/>
      <c r="J17" s="98"/>
      <c r="K17" s="99"/>
      <c r="L17" s="88"/>
      <c r="M17" s="1"/>
      <c r="N17" s="9"/>
      <c r="O17" s="90">
        <f>IF(AND(ISNUMBER(N11),N11&gt;N13),M11,IF(ISNUMBER(N13),M13,""))</f>
      </c>
      <c r="P17" s="88"/>
      <c r="Q17" s="114" t="s">
        <v>0</v>
      </c>
    </row>
    <row r="18" spans="1:17" ht="7.5" customHeight="1">
      <c r="A18" s="114"/>
      <c r="B18" s="91"/>
      <c r="C18" s="88"/>
      <c r="D18" s="91"/>
      <c r="E18" s="103"/>
      <c r="F18" s="2"/>
      <c r="G18" s="1"/>
      <c r="H18" s="1"/>
      <c r="I18" s="1"/>
      <c r="J18" s="94" t="s">
        <v>96</v>
      </c>
      <c r="K18" s="94"/>
      <c r="L18" s="79"/>
      <c r="M18" s="1"/>
      <c r="N18" s="9"/>
      <c r="O18" s="90"/>
      <c r="P18" s="88"/>
      <c r="Q18" s="114"/>
    </row>
    <row r="19" spans="1:17" ht="7.5" customHeight="1">
      <c r="A19" s="114"/>
      <c r="B19" s="91">
        <f>IF(AND(ISNUMBER(P17),P17&lt;P19),O17,(IF(ISNUMBER(P19),O19,"")))</f>
      </c>
      <c r="C19" s="88"/>
      <c r="D19" s="91">
        <f>IF(AND(ISNUMBER(G23),G23&gt;G25),F23,IF(ISNUMBER(G25),F25,""))</f>
      </c>
      <c r="E19" s="103"/>
      <c r="F19" s="2"/>
      <c r="G19" s="1"/>
      <c r="H19" s="1"/>
      <c r="I19" s="1"/>
      <c r="J19" s="95"/>
      <c r="K19" s="95"/>
      <c r="L19" s="80"/>
      <c r="M19" s="1"/>
      <c r="N19" s="9"/>
      <c r="O19" s="90">
        <f>IF(AND(ISNUMBER(N23),N23&gt;N25),M23,IF(ISNUMBER(N25),M25,""))</f>
      </c>
      <c r="P19" s="88"/>
      <c r="Q19" s="114"/>
    </row>
    <row r="20" spans="1:17" ht="7.5" customHeight="1">
      <c r="A20" s="114"/>
      <c r="B20" s="91"/>
      <c r="C20" s="88"/>
      <c r="D20" s="91"/>
      <c r="E20" s="103"/>
      <c r="F20" s="2"/>
      <c r="G20" s="1"/>
      <c r="H20" s="1"/>
      <c r="I20" s="1"/>
      <c r="J20" s="98" t="str">
        <f>Ilmoittautuminen!B7</f>
        <v>W.O.</v>
      </c>
      <c r="K20" s="99">
        <f>IF(ISBLANK(Ilmoittautuminen!C7),"",Ilmoittautuminen!C7)</f>
      </c>
      <c r="L20" s="88"/>
      <c r="M20" s="1"/>
      <c r="N20" s="9"/>
      <c r="O20" s="90"/>
      <c r="P20" s="88"/>
      <c r="Q20" s="114"/>
    </row>
    <row r="21" spans="2:16" ht="7.5" customHeight="1">
      <c r="B21" s="115" t="s">
        <v>20</v>
      </c>
      <c r="E21" s="8"/>
      <c r="F21" s="151" t="s">
        <v>96</v>
      </c>
      <c r="G21" s="79"/>
      <c r="H21" s="92" t="s">
        <v>96</v>
      </c>
      <c r="I21" s="149"/>
      <c r="J21" s="98"/>
      <c r="K21" s="99"/>
      <c r="L21" s="88"/>
      <c r="M21" s="92" t="s">
        <v>96</v>
      </c>
      <c r="N21" s="79"/>
      <c r="O21" s="101" t="s">
        <v>17</v>
      </c>
      <c r="P21" s="5"/>
    </row>
    <row r="22" spans="2:16" ht="7.5" customHeight="1">
      <c r="B22" s="116"/>
      <c r="E22" s="8"/>
      <c r="F22" s="152"/>
      <c r="G22" s="80"/>
      <c r="H22" s="93"/>
      <c r="I22" s="150"/>
      <c r="J22" s="98" t="str">
        <f>Ilmoittautuminen!B14</f>
        <v>W.O.</v>
      </c>
      <c r="K22" s="99">
        <f>IF(ISBLANK(Ilmoittautuminen!C14),"",Ilmoittautuminen!C14)</f>
      </c>
      <c r="L22" s="88"/>
      <c r="M22" s="93"/>
      <c r="N22" s="80"/>
      <c r="O22" s="101"/>
      <c r="P22" s="5"/>
    </row>
    <row r="23" spans="6:14" ht="7.5" customHeight="1">
      <c r="F23" s="119">
        <f>IF(AND(ISNUMBER(I23),I23=I$4),H23,IF(ISNUMBER(I25),H25,""))</f>
      </c>
      <c r="G23" s="88"/>
      <c r="H23" s="91">
        <f>IF(AND(ISNUMBER(L20),L20&lt;L22),J20,IF(ISNUMBER(L22),J22,""))</f>
      </c>
      <c r="I23" s="103"/>
      <c r="J23" s="98"/>
      <c r="K23" s="99"/>
      <c r="L23" s="88"/>
      <c r="M23" s="91">
        <f>IF(AND(ISNUMBER(L20),L20&gt;L22),J20,IF(ISNUMBER(L22),J22,""))</f>
      </c>
      <c r="N23" s="89"/>
    </row>
    <row r="24" spans="6:14" ht="7.5" customHeight="1">
      <c r="F24" s="119"/>
      <c r="G24" s="88"/>
      <c r="H24" s="91"/>
      <c r="I24" s="103"/>
      <c r="J24" s="120" t="s">
        <v>96</v>
      </c>
      <c r="K24" s="121"/>
      <c r="L24" s="79"/>
      <c r="M24" s="91"/>
      <c r="N24" s="89"/>
    </row>
    <row r="25" spans="6:14" ht="7.5" customHeight="1">
      <c r="F25" s="119">
        <f>IF(AND(ISNUMBER(N51),N51&lt;N53),M51,(IF(ISNUMBER(N53),M53,"")))</f>
      </c>
      <c r="G25" s="88"/>
      <c r="H25" s="91">
        <f>IF(AND(ISNUMBER(L26),L26&lt;L28),J26,IF(ISNUMBER(L28),J28,""))</f>
      </c>
      <c r="I25" s="103"/>
      <c r="J25" s="122"/>
      <c r="K25" s="97"/>
      <c r="L25" s="80"/>
      <c r="M25" s="91">
        <f>IF(AND(ISNUMBER(L26),L26&gt;L28),J26,IF(ISNUMBER(L28),J28,""))</f>
      </c>
      <c r="N25" s="89"/>
    </row>
    <row r="26" spans="2:14" ht="7.5" customHeight="1">
      <c r="B26" s="117">
        <f>IF(AND(ISNUMBER(P17),P17&gt;P19),O17,(IF(ISNUMBER(P19),O19,"")))</f>
      </c>
      <c r="C26" s="105"/>
      <c r="D26" s="142" t="s">
        <v>7</v>
      </c>
      <c r="F26" s="119"/>
      <c r="G26" s="88"/>
      <c r="H26" s="91"/>
      <c r="I26" s="103"/>
      <c r="J26" s="98" t="str">
        <f>Ilmoittautuminen!B15</f>
        <v>W.O.</v>
      </c>
      <c r="K26" s="99">
        <f>IF(ISBLANK(Ilmoittautuminen!C15),"",Ilmoittautuminen!C15)</f>
      </c>
      <c r="L26" s="88"/>
      <c r="M26" s="91"/>
      <c r="N26" s="89"/>
    </row>
    <row r="27" spans="2:14" ht="7.5" customHeight="1">
      <c r="B27" s="117"/>
      <c r="C27" s="105"/>
      <c r="D27" s="142"/>
      <c r="F27" s="101" t="s">
        <v>10</v>
      </c>
      <c r="G27" s="1"/>
      <c r="H27" s="1"/>
      <c r="I27" s="1"/>
      <c r="J27" s="98"/>
      <c r="K27" s="99"/>
      <c r="L27" s="88"/>
      <c r="M27" s="101" t="s">
        <v>14</v>
      </c>
      <c r="N27" s="5"/>
    </row>
    <row r="28" spans="2:14" ht="7.5" customHeight="1">
      <c r="B28" s="159">
        <f>IF(OR($C$31=$E$31,$C$33=$E$33),$D$31,IF($C$31=1,$D$31,$D$33))</f>
      </c>
      <c r="C28" s="155"/>
      <c r="D28" s="157" t="s">
        <v>101</v>
      </c>
      <c r="E28" s="79"/>
      <c r="F28" s="102"/>
      <c r="G28" s="1"/>
      <c r="H28" s="1"/>
      <c r="I28" s="1"/>
      <c r="J28" s="131" t="str">
        <f>Ilmoittautuminen!B6</f>
        <v>W.O.</v>
      </c>
      <c r="K28" s="137">
        <f>IF(ISBLANK(Ilmoittautuminen!C6),"",Ilmoittautuminen!C6)</f>
      </c>
      <c r="L28" s="88"/>
      <c r="M28" s="101"/>
      <c r="N28" s="5"/>
    </row>
    <row r="29" spans="2:16" ht="7.5" customHeight="1" thickBot="1">
      <c r="B29" s="160"/>
      <c r="C29" s="161"/>
      <c r="D29" s="158"/>
      <c r="E29" s="162"/>
      <c r="F29" s="1"/>
      <c r="G29" s="1"/>
      <c r="H29" s="1"/>
      <c r="I29" s="1"/>
      <c r="J29" s="132"/>
      <c r="K29" s="137"/>
      <c r="L29" s="88"/>
      <c r="M29" s="63"/>
      <c r="N29" s="67"/>
      <c r="O29" s="128" t="s">
        <v>96</v>
      </c>
      <c r="P29" s="79"/>
    </row>
    <row r="30" spans="6:16" ht="7.5" customHeight="1">
      <c r="F30" s="1"/>
      <c r="G30" s="1"/>
      <c r="H30" s="1"/>
      <c r="I30" s="1"/>
      <c r="M30" s="63"/>
      <c r="N30" s="67"/>
      <c r="O30" s="129"/>
      <c r="P30" s="80"/>
    </row>
    <row r="31" spans="2:16" ht="7.5" customHeight="1">
      <c r="B31" s="163">
        <v>0.1266953960851942</v>
      </c>
      <c r="C31" s="164">
        <f>IF($B$31&gt;$B$33,1,2)</f>
        <v>1</v>
      </c>
      <c r="D31" s="143">
        <f>IF(AND(ISNUMBER($C$17),$C$17&gt;$C$19),$B$17,IF(ISNUMBER($C$19),$B$19,""))</f>
      </c>
      <c r="E31" s="141">
        <f>IF(OR(D31=$O$17,D31=$O$19),1,IF(OR(D31=$O$45,D31=$O$47),2,"E"))</f>
        <v>1</v>
      </c>
      <c r="H31" s="1"/>
      <c r="I31" s="1"/>
      <c r="M31" s="106" t="s">
        <v>32</v>
      </c>
      <c r="N31" s="106"/>
      <c r="O31" s="107">
        <f>IF(AND(ISNUMBER(C26),C26&gt;C28),B26,IF(ISNUMBER(C28),B28,""))</f>
      </c>
      <c r="P31" s="105"/>
    </row>
    <row r="32" spans="2:16" ht="7.5" customHeight="1">
      <c r="B32" s="163"/>
      <c r="C32" s="164"/>
      <c r="D32" s="143"/>
      <c r="E32" s="141"/>
      <c r="M32" s="106"/>
      <c r="N32" s="106"/>
      <c r="O32" s="108"/>
      <c r="P32" s="105"/>
    </row>
    <row r="33" spans="2:16" ht="7.5" customHeight="1">
      <c r="B33" s="163">
        <v>0.06749114703167658</v>
      </c>
      <c r="C33" s="164">
        <f>IF($B$31&lt;$B$33,1,2)</f>
        <v>2</v>
      </c>
      <c r="D33" s="143">
        <f>IF(AND(ISNUMBER($C$45),$C$45&gt;$C$47),$B$45,IF(ISNUMBER($C$47),$B$47,""))</f>
      </c>
      <c r="E33" s="141">
        <f>IF(OR(D33=$O$17,D33=$O$19),1,IF(OR(D33=$O$45,D33=$O$47),2,"E"))</f>
        <v>1</v>
      </c>
      <c r="M33" s="106"/>
      <c r="N33" s="106"/>
      <c r="O33" s="107">
        <f>IF(AND(ISNUMBER(C36),C36&gt;C38),B36,IF(ISNUMBER(C38),B38,""))</f>
      </c>
      <c r="P33" s="105"/>
    </row>
    <row r="34" spans="2:16" ht="7.5" customHeight="1">
      <c r="B34" s="163"/>
      <c r="C34" s="164"/>
      <c r="D34" s="143"/>
      <c r="E34" s="141"/>
      <c r="H34" s="1"/>
      <c r="I34" s="1"/>
      <c r="J34" s="118" t="s">
        <v>96</v>
      </c>
      <c r="K34" s="118"/>
      <c r="L34" s="79"/>
      <c r="M34" s="106"/>
      <c r="N34" s="106"/>
      <c r="O34" s="108"/>
      <c r="P34" s="105"/>
    </row>
    <row r="35" spans="2:16" ht="7.5" customHeight="1" thickBot="1">
      <c r="B35" s="62"/>
      <c r="H35" s="1"/>
      <c r="I35" s="1"/>
      <c r="J35" s="118"/>
      <c r="K35" s="118"/>
      <c r="L35" s="138"/>
      <c r="M35" s="64"/>
      <c r="N35" s="64"/>
      <c r="P35"/>
    </row>
    <row r="36" spans="2:16" ht="7.5" customHeight="1">
      <c r="B36" s="153">
        <f>IF(AND(ISNUMBER(P45),P45&gt;P47),O45,(IF(ISNUMBER(P47),O47,"")))</f>
      </c>
      <c r="C36" s="155"/>
      <c r="D36" s="147" t="s">
        <v>102</v>
      </c>
      <c r="E36" s="145"/>
      <c r="H36" s="1"/>
      <c r="I36" s="1"/>
      <c r="J36" s="131" t="str">
        <f>Ilmoittautuminen!B5</f>
        <v>W.O.</v>
      </c>
      <c r="K36" s="133">
        <f>IF(ISBLANK(Ilmoittautuminen!C5),"",Ilmoittautuminen!C5)</f>
      </c>
      <c r="L36" s="135"/>
      <c r="M36" s="64"/>
      <c r="N36" s="64"/>
      <c r="P36"/>
    </row>
    <row r="37" spans="2:16" ht="7.5" customHeight="1">
      <c r="B37" s="154"/>
      <c r="C37" s="156"/>
      <c r="D37" s="148"/>
      <c r="E37" s="80"/>
      <c r="F37" s="128" t="s">
        <v>96</v>
      </c>
      <c r="G37" s="79"/>
      <c r="H37" s="92" t="s">
        <v>96</v>
      </c>
      <c r="I37" s="79"/>
      <c r="J37" s="132"/>
      <c r="K37" s="134"/>
      <c r="L37" s="136"/>
      <c r="M37" s="92" t="s">
        <v>96</v>
      </c>
      <c r="N37" s="79"/>
      <c r="O37" s="1"/>
      <c r="P37" s="5"/>
    </row>
    <row r="38" spans="2:16" ht="7.5" customHeight="1">
      <c r="B38" s="143">
        <f>IF(OR($C$31=$E$31,$C$33=$E$33),D31,IF(C33=1,D31,D33))</f>
      </c>
      <c r="C38" s="105"/>
      <c r="D38" s="142" t="s">
        <v>7</v>
      </c>
      <c r="F38" s="129"/>
      <c r="G38" s="80"/>
      <c r="H38" s="93"/>
      <c r="I38" s="80"/>
      <c r="J38" s="98" t="str">
        <f>Ilmoittautuminen!B16</f>
        <v>W.O.</v>
      </c>
      <c r="K38" s="99">
        <f>IF(ISBLANK(Ilmoittautuminen!C16),"",Ilmoittautuminen!C16)</f>
      </c>
      <c r="L38" s="88"/>
      <c r="M38" s="93"/>
      <c r="N38" s="80"/>
      <c r="O38" s="1"/>
      <c r="P38" s="5"/>
    </row>
    <row r="39" spans="2:14" ht="7.5" customHeight="1" thickBot="1">
      <c r="B39" s="144"/>
      <c r="C39" s="146"/>
      <c r="D39" s="142"/>
      <c r="F39" s="119">
        <f>IF(AND(ISNUMBER(I39),I39&gt;I41),H39,IF(ISNUMBER(I41),H41,""))</f>
      </c>
      <c r="G39" s="88"/>
      <c r="H39" s="91">
        <f>IF(AND(ISNUMBER(L36),L36&lt;L38),J36,IF(ISNUMBER(L38),J38,""))</f>
      </c>
      <c r="I39" s="88"/>
      <c r="J39" s="98"/>
      <c r="K39" s="99"/>
      <c r="L39" s="88"/>
      <c r="M39" s="123">
        <f>IF(AND(ISNUMBER(L36),L36&gt;L38),J36,IF(ISNUMBER(L38),J38,""))</f>
      </c>
      <c r="N39" s="125"/>
    </row>
    <row r="40" spans="6:14" ht="7.5" customHeight="1">
      <c r="F40" s="119"/>
      <c r="G40" s="88"/>
      <c r="H40" s="91"/>
      <c r="I40" s="88"/>
      <c r="J40" s="96" t="s">
        <v>96</v>
      </c>
      <c r="K40" s="96"/>
      <c r="L40" s="79"/>
      <c r="M40" s="124"/>
      <c r="N40" s="126"/>
    </row>
    <row r="41" spans="6:14" ht="7.5" customHeight="1">
      <c r="F41" s="119">
        <f>IF(AND(ISNUMBER(N11),N11&lt;N13),M11,(IF(ISNUMBER(N13),M13,"")))</f>
      </c>
      <c r="G41" s="88"/>
      <c r="H41" s="91">
        <f>IF(AND(ISNUMBER(L42),L42&lt;L44),J42,IF(ISNUMBER(L44),J44,""))</f>
      </c>
      <c r="I41" s="88"/>
      <c r="J41" s="97"/>
      <c r="K41" s="97"/>
      <c r="L41" s="80"/>
      <c r="M41" s="91">
        <f>IF(AND(ISNUMBER(L42),L42&gt;L44),J42,IF(ISNUMBER(L44),J44,""))</f>
      </c>
      <c r="N41" s="89"/>
    </row>
    <row r="42" spans="6:14" ht="7.5" customHeight="1">
      <c r="F42" s="119"/>
      <c r="G42" s="88"/>
      <c r="H42" s="91"/>
      <c r="I42" s="88"/>
      <c r="J42" s="98" t="str">
        <f>Ilmoittautuminen!B13</f>
        <v>W.O.</v>
      </c>
      <c r="K42" s="99">
        <f>IF(ISBLANK(Ilmoittautuminen!C13),"",Ilmoittautuminen!C13)</f>
      </c>
      <c r="L42" s="88"/>
      <c r="M42" s="91"/>
      <c r="N42" s="89"/>
    </row>
    <row r="43" spans="2:16" ht="7.5" customHeight="1">
      <c r="B43" s="128" t="s">
        <v>96</v>
      </c>
      <c r="C43" s="79"/>
      <c r="D43" s="92" t="s">
        <v>96</v>
      </c>
      <c r="E43" s="79"/>
      <c r="F43" s="139" t="s">
        <v>11</v>
      </c>
      <c r="G43" s="1"/>
      <c r="H43" s="1"/>
      <c r="I43" s="1"/>
      <c r="J43" s="98"/>
      <c r="K43" s="99"/>
      <c r="L43" s="88"/>
      <c r="M43" s="101" t="s">
        <v>15</v>
      </c>
      <c r="N43" s="9"/>
      <c r="O43" s="92" t="s">
        <v>96</v>
      </c>
      <c r="P43" s="79"/>
    </row>
    <row r="44" spans="2:16" ht="7.5" customHeight="1">
      <c r="B44" s="129"/>
      <c r="C44" s="80"/>
      <c r="D44" s="93"/>
      <c r="E44" s="80"/>
      <c r="F44" s="139"/>
      <c r="G44" s="1"/>
      <c r="H44" s="1"/>
      <c r="I44" s="1"/>
      <c r="J44" s="98" t="str">
        <f>Ilmoittautuminen!B8</f>
        <v>W.O.</v>
      </c>
      <c r="K44" s="99">
        <f>IF(ISBLANK(Ilmoittautuminen!C8),"",Ilmoittautuminen!C8)</f>
      </c>
      <c r="L44" s="88"/>
      <c r="M44" s="101"/>
      <c r="N44" s="9"/>
      <c r="O44" s="93"/>
      <c r="P44" s="80"/>
    </row>
    <row r="45" spans="1:17" ht="7.5" customHeight="1">
      <c r="A45" s="114" t="s">
        <v>0</v>
      </c>
      <c r="B45" s="91">
        <f>IF(AND(ISNUMBER(E45),E45&gt;E47),D45,IF(ISNUMBER(E47),D47,""))</f>
      </c>
      <c r="C45" s="88"/>
      <c r="D45" s="91">
        <f>IF(AND(ISNUMBER(G39),G39&gt;G41),F39,IF(ISNUMBER(G41),F41,""))</f>
      </c>
      <c r="E45" s="103"/>
      <c r="F45" s="2"/>
      <c r="G45" s="1"/>
      <c r="H45" s="1"/>
      <c r="I45" s="1"/>
      <c r="J45" s="98"/>
      <c r="K45" s="99"/>
      <c r="L45" s="88"/>
      <c r="M45" s="1"/>
      <c r="N45" s="9"/>
      <c r="O45" s="90">
        <f>IF(AND(ISNUMBER(N39),N39&gt;N41),M39,IF(ISNUMBER(N41),M41,""))</f>
      </c>
      <c r="P45" s="88"/>
      <c r="Q45" s="114" t="s">
        <v>0</v>
      </c>
    </row>
    <row r="46" spans="1:17" ht="7.5" customHeight="1">
      <c r="A46" s="114"/>
      <c r="B46" s="91"/>
      <c r="C46" s="88"/>
      <c r="D46" s="91"/>
      <c r="E46" s="103"/>
      <c r="F46" s="2"/>
      <c r="G46" s="1"/>
      <c r="H46" s="1"/>
      <c r="I46" s="1"/>
      <c r="J46" s="94" t="s">
        <v>96</v>
      </c>
      <c r="K46" s="94"/>
      <c r="L46" s="79"/>
      <c r="M46" s="1"/>
      <c r="N46" s="9"/>
      <c r="O46" s="90"/>
      <c r="P46" s="88"/>
      <c r="Q46" s="114"/>
    </row>
    <row r="47" spans="1:17" ht="7.5" customHeight="1">
      <c r="A47" s="114"/>
      <c r="B47" s="91">
        <f>IF(AND(ISNUMBER(P45),P45&lt;P47),O45,(IF(ISNUMBER(P47),O47,"")))</f>
      </c>
      <c r="C47" s="88"/>
      <c r="D47" s="91">
        <f>IF(AND(ISNUMBER(G51),G51&gt;G53),F51,IF(ISNUMBER(G53),F53,""))</f>
      </c>
      <c r="E47" s="103"/>
      <c r="F47" s="2"/>
      <c r="G47" s="1"/>
      <c r="H47" s="1"/>
      <c r="I47" s="1"/>
      <c r="J47" s="95"/>
      <c r="K47" s="95"/>
      <c r="L47" s="80"/>
      <c r="M47" s="1"/>
      <c r="N47" s="9"/>
      <c r="O47" s="90">
        <f>IF(AND(ISNUMBER(N51),N51&gt;N53),M51,IF(ISNUMBER(N53),M53,""))</f>
      </c>
      <c r="P47" s="127"/>
      <c r="Q47" s="114"/>
    </row>
    <row r="48" spans="1:17" ht="7.5" customHeight="1">
      <c r="A48" s="114"/>
      <c r="B48" s="91"/>
      <c r="C48" s="88"/>
      <c r="D48" s="91"/>
      <c r="E48" s="103"/>
      <c r="F48" s="2"/>
      <c r="G48" s="1"/>
      <c r="H48" s="1"/>
      <c r="I48" s="1"/>
      <c r="J48" s="98" t="str">
        <f>Ilmoittautuminen!B9</f>
        <v>W.O.</v>
      </c>
      <c r="K48" s="99">
        <f>IF(ISBLANK(Ilmoittautuminen!C9),"",Ilmoittautuminen!C9)</f>
      </c>
      <c r="L48" s="88"/>
      <c r="M48" s="1"/>
      <c r="N48" s="9"/>
      <c r="O48" s="90"/>
      <c r="P48" s="127"/>
      <c r="Q48" s="114"/>
    </row>
    <row r="49" spans="2:16" ht="7.5" customHeight="1">
      <c r="B49" s="115" t="s">
        <v>19</v>
      </c>
      <c r="E49" s="8"/>
      <c r="F49" s="92" t="s">
        <v>96</v>
      </c>
      <c r="G49" s="79">
        <v>20</v>
      </c>
      <c r="H49" s="92" t="s">
        <v>96</v>
      </c>
      <c r="I49" s="79"/>
      <c r="J49" s="98"/>
      <c r="K49" s="99"/>
      <c r="L49" s="88"/>
      <c r="M49" s="92" t="s">
        <v>96</v>
      </c>
      <c r="N49" s="79"/>
      <c r="O49" s="101" t="s">
        <v>18</v>
      </c>
      <c r="P49" s="5"/>
    </row>
    <row r="50" spans="2:16" ht="7.5" customHeight="1">
      <c r="B50" s="116"/>
      <c r="E50" s="8"/>
      <c r="F50" s="93"/>
      <c r="G50" s="80"/>
      <c r="H50" s="93"/>
      <c r="I50" s="80"/>
      <c r="J50" s="98" t="str">
        <f>Ilmoittautuminen!B12</f>
        <v>W.O.</v>
      </c>
      <c r="K50" s="99">
        <f>IF(ISBLANK(Ilmoittautuminen!C12),"",Ilmoittautuminen!C12)</f>
      </c>
      <c r="L50" s="88"/>
      <c r="M50" s="93"/>
      <c r="N50" s="80"/>
      <c r="O50" s="101"/>
      <c r="P50" s="5"/>
    </row>
    <row r="51" spans="6:14" ht="7.5" customHeight="1">
      <c r="F51" s="119">
        <f>IF(AND(ISNUMBER(I51),I51&gt;I53),H51,IF(ISNUMBER(I53),H53,""))</f>
      </c>
      <c r="G51" s="88"/>
      <c r="H51" s="91">
        <f>IF(AND(ISNUMBER(L48),L48&lt;L50),J48,IF(ISNUMBER(L50),J50,""))</f>
      </c>
      <c r="I51" s="88"/>
      <c r="J51" s="98"/>
      <c r="K51" s="99"/>
      <c r="L51" s="88"/>
      <c r="M51" s="91">
        <f>IF(AND(ISNUMBER(L48),L48&gt;L50),J48,IF(ISNUMBER(L50),J50,""))</f>
      </c>
      <c r="N51" s="89"/>
    </row>
    <row r="52" spans="6:18" ht="7.5" customHeight="1">
      <c r="F52" s="119"/>
      <c r="G52" s="88"/>
      <c r="H52" s="91"/>
      <c r="I52" s="88"/>
      <c r="J52" s="96" t="s">
        <v>96</v>
      </c>
      <c r="K52" s="96"/>
      <c r="L52" s="79"/>
      <c r="M52" s="91"/>
      <c r="N52" s="89"/>
      <c r="R52">
        <v>2</v>
      </c>
    </row>
    <row r="53" spans="6:14" ht="7.5" customHeight="1">
      <c r="F53" s="119">
        <f>IF(AND(ISNUMBER(N23),N23&lt;N25),M23,(IF(ISNUMBER(N25),M25,"")))</f>
      </c>
      <c r="G53" s="88"/>
      <c r="H53" s="91">
        <f>IF(AND(ISNUMBER(L54),L54&lt;L56),J54,IF(ISNUMBER(L56),J56,""))</f>
      </c>
      <c r="I53" s="88"/>
      <c r="J53" s="97"/>
      <c r="K53" s="97"/>
      <c r="L53" s="80"/>
      <c r="M53" s="91">
        <f>IF(AND(ISNUMBER(L54),L54&gt;L56),J54,IF(ISNUMBER(L56),J56,""))</f>
      </c>
      <c r="N53" s="89"/>
    </row>
    <row r="54" spans="6:14" ht="7.5" customHeight="1">
      <c r="F54" s="119"/>
      <c r="G54" s="88"/>
      <c r="H54" s="91"/>
      <c r="I54" s="88"/>
      <c r="J54" s="98" t="str">
        <f>Ilmoittautuminen!B17</f>
        <v>W.O.</v>
      </c>
      <c r="K54" s="99">
        <f>IF(ISBLANK(Ilmoittautuminen!C17),"",Ilmoittautuminen!C17)</f>
      </c>
      <c r="L54" s="88"/>
      <c r="M54" s="91"/>
      <c r="N54" s="89"/>
    </row>
    <row r="55" spans="6:16" ht="7.5" customHeight="1">
      <c r="F55" s="101" t="s">
        <v>12</v>
      </c>
      <c r="H55" s="1"/>
      <c r="I55" s="1"/>
      <c r="J55" s="98"/>
      <c r="K55" s="99"/>
      <c r="L55" s="88"/>
      <c r="M55" s="101" t="s">
        <v>16</v>
      </c>
      <c r="N55" s="5"/>
      <c r="O55" s="1"/>
      <c r="P55" s="5"/>
    </row>
    <row r="56" spans="2:16" ht="7.5" customHeight="1">
      <c r="B56" s="100" t="s">
        <v>79</v>
      </c>
      <c r="C56" s="100"/>
      <c r="D56" s="100"/>
      <c r="F56" s="102"/>
      <c r="G56" s="1"/>
      <c r="H56" s="1"/>
      <c r="I56" s="1"/>
      <c r="J56" s="98" t="str">
        <f>Ilmoittautuminen!B4</f>
        <v>W.O.</v>
      </c>
      <c r="K56" s="99">
        <f>IF(ISBLANK(Ilmoittautuminen!C4),"",Ilmoittautuminen!C4)</f>
      </c>
      <c r="L56" s="88"/>
      <c r="M56" s="101"/>
      <c r="N56" s="5"/>
      <c r="O56" s="1"/>
      <c r="P56" s="5"/>
    </row>
    <row r="57" spans="2:16" ht="7.5" customHeight="1">
      <c r="B57" s="100"/>
      <c r="C57" s="100"/>
      <c r="D57" s="100"/>
      <c r="F57" s="1"/>
      <c r="G57" s="1"/>
      <c r="H57" s="1"/>
      <c r="I57" s="1"/>
      <c r="J57" s="98"/>
      <c r="K57" s="99"/>
      <c r="L57" s="88"/>
      <c r="M57" s="1"/>
      <c r="N57" s="5"/>
      <c r="O57" s="1"/>
      <c r="P57" s="5"/>
    </row>
    <row r="59" spans="2:8" ht="7.5" customHeight="1">
      <c r="B59" s="100" t="s">
        <v>33</v>
      </c>
      <c r="C59" s="16"/>
      <c r="D59" s="104" t="s">
        <v>34</v>
      </c>
      <c r="E59" s="16"/>
      <c r="F59" s="104" t="s">
        <v>35</v>
      </c>
      <c r="G59" s="16"/>
      <c r="H59" s="104" t="s">
        <v>36</v>
      </c>
    </row>
    <row r="60" spans="2:8" ht="7.5" customHeight="1">
      <c r="B60" s="100"/>
      <c r="C60" s="16"/>
      <c r="D60" s="104"/>
      <c r="E60" s="16"/>
      <c r="F60" s="104"/>
      <c r="G60" s="16"/>
      <c r="H60" s="104"/>
    </row>
    <row r="233" ht="7.5" customHeight="1">
      <c r="B233">
        <f ca="1">RAND()</f>
        <v>0.38831453476053956</v>
      </c>
    </row>
  </sheetData>
  <sheetProtection/>
  <mergeCells count="237">
    <mergeCell ref="C28:C29"/>
    <mergeCell ref="E28:E29"/>
    <mergeCell ref="B33:B34"/>
    <mergeCell ref="B31:B32"/>
    <mergeCell ref="C31:C32"/>
    <mergeCell ref="C33:C34"/>
    <mergeCell ref="B36:B37"/>
    <mergeCell ref="C36:C37"/>
    <mergeCell ref="D28:D29"/>
    <mergeCell ref="H9:H10"/>
    <mergeCell ref="H25:H26"/>
    <mergeCell ref="B28:B29"/>
    <mergeCell ref="G25:G26"/>
    <mergeCell ref="D17:D18"/>
    <mergeCell ref="D15:D16"/>
    <mergeCell ref="H23:H24"/>
    <mergeCell ref="I9:I10"/>
    <mergeCell ref="H21:H22"/>
    <mergeCell ref="I21:I22"/>
    <mergeCell ref="E15:E16"/>
    <mergeCell ref="F9:F10"/>
    <mergeCell ref="G9:G10"/>
    <mergeCell ref="G21:G22"/>
    <mergeCell ref="F21:F22"/>
    <mergeCell ref="H13:H14"/>
    <mergeCell ref="I11:I12"/>
    <mergeCell ref="D38:D39"/>
    <mergeCell ref="M49:M50"/>
    <mergeCell ref="D31:D32"/>
    <mergeCell ref="D33:D34"/>
    <mergeCell ref="D47:D48"/>
    <mergeCell ref="D45:D46"/>
    <mergeCell ref="M37:M38"/>
    <mergeCell ref="I41:I42"/>
    <mergeCell ref="F41:F42"/>
    <mergeCell ref="G41:G42"/>
    <mergeCell ref="K22:K23"/>
    <mergeCell ref="B38:B39"/>
    <mergeCell ref="H37:H38"/>
    <mergeCell ref="I37:I38"/>
    <mergeCell ref="F37:F38"/>
    <mergeCell ref="E36:E37"/>
    <mergeCell ref="G37:G38"/>
    <mergeCell ref="C38:C39"/>
    <mergeCell ref="F39:F40"/>
    <mergeCell ref="D36:D37"/>
    <mergeCell ref="B15:B16"/>
    <mergeCell ref="C15:C16"/>
    <mergeCell ref="D26:D27"/>
    <mergeCell ref="I49:I50"/>
    <mergeCell ref="F49:F50"/>
    <mergeCell ref="G49:G50"/>
    <mergeCell ref="E47:E48"/>
    <mergeCell ref="G39:G40"/>
    <mergeCell ref="H39:H40"/>
    <mergeCell ref="I39:I40"/>
    <mergeCell ref="E1:N3"/>
    <mergeCell ref="E31:E32"/>
    <mergeCell ref="E33:E34"/>
    <mergeCell ref="E17:E18"/>
    <mergeCell ref="G13:G14"/>
    <mergeCell ref="M21:M22"/>
    <mergeCell ref="M15:M16"/>
    <mergeCell ref="J22:J23"/>
    <mergeCell ref="G23:G24"/>
    <mergeCell ref="J20:J21"/>
    <mergeCell ref="D19:D20"/>
    <mergeCell ref="E19:E20"/>
    <mergeCell ref="F15:F16"/>
    <mergeCell ref="F27:F28"/>
    <mergeCell ref="F23:F24"/>
    <mergeCell ref="F25:F26"/>
    <mergeCell ref="K48:K49"/>
    <mergeCell ref="F43:F44"/>
    <mergeCell ref="B45:B46"/>
    <mergeCell ref="C45:C46"/>
    <mergeCell ref="K42:K43"/>
    <mergeCell ref="C47:C48"/>
    <mergeCell ref="B49:B50"/>
    <mergeCell ref="H41:H42"/>
    <mergeCell ref="L44:L45"/>
    <mergeCell ref="L38:L39"/>
    <mergeCell ref="L34:L35"/>
    <mergeCell ref="O49:O50"/>
    <mergeCell ref="J44:J45"/>
    <mergeCell ref="K44:K45"/>
    <mergeCell ref="L50:L51"/>
    <mergeCell ref="L46:L47"/>
    <mergeCell ref="J50:J51"/>
    <mergeCell ref="J42:J43"/>
    <mergeCell ref="L28:L29"/>
    <mergeCell ref="J36:J37"/>
    <mergeCell ref="K36:K37"/>
    <mergeCell ref="L36:L37"/>
    <mergeCell ref="N37:N38"/>
    <mergeCell ref="N41:N42"/>
    <mergeCell ref="J28:J29"/>
    <mergeCell ref="K28:K29"/>
    <mergeCell ref="J38:J39"/>
    <mergeCell ref="K38:K39"/>
    <mergeCell ref="Q17:Q20"/>
    <mergeCell ref="L20:L21"/>
    <mergeCell ref="L22:L23"/>
    <mergeCell ref="O21:O22"/>
    <mergeCell ref="N21:N22"/>
    <mergeCell ref="O17:O18"/>
    <mergeCell ref="O19:O20"/>
    <mergeCell ref="M43:M44"/>
    <mergeCell ref="Q45:Q48"/>
    <mergeCell ref="P43:P44"/>
    <mergeCell ref="N51:N52"/>
    <mergeCell ref="N49:N50"/>
    <mergeCell ref="N25:N26"/>
    <mergeCell ref="O29:O30"/>
    <mergeCell ref="F11:F12"/>
    <mergeCell ref="H11:H12"/>
    <mergeCell ref="J4:K4"/>
    <mergeCell ref="J14:J15"/>
    <mergeCell ref="K20:K21"/>
    <mergeCell ref="J10:J11"/>
    <mergeCell ref="K14:K15"/>
    <mergeCell ref="J16:J17"/>
    <mergeCell ref="G11:G12"/>
    <mergeCell ref="K50:K51"/>
    <mergeCell ref="J40:K41"/>
    <mergeCell ref="J46:K47"/>
    <mergeCell ref="J48:J49"/>
    <mergeCell ref="P45:P46"/>
    <mergeCell ref="P47:P48"/>
    <mergeCell ref="O45:O46"/>
    <mergeCell ref="O43:O44"/>
    <mergeCell ref="O47:O48"/>
    <mergeCell ref="M51:M52"/>
    <mergeCell ref="M53:M54"/>
    <mergeCell ref="N39:N40"/>
    <mergeCell ref="F53:F54"/>
    <mergeCell ref="G53:G54"/>
    <mergeCell ref="H53:H54"/>
    <mergeCell ref="J52:K53"/>
    <mergeCell ref="K54:K55"/>
    <mergeCell ref="L40:L41"/>
    <mergeCell ref="L42:L43"/>
    <mergeCell ref="I53:I54"/>
    <mergeCell ref="O31:O32"/>
    <mergeCell ref="N23:N24"/>
    <mergeCell ref="M39:M40"/>
    <mergeCell ref="M25:M26"/>
    <mergeCell ref="L52:L53"/>
    <mergeCell ref="J54:J55"/>
    <mergeCell ref="M55:M56"/>
    <mergeCell ref="J56:J57"/>
    <mergeCell ref="K56:K57"/>
    <mergeCell ref="L56:L57"/>
    <mergeCell ref="B17:B18"/>
    <mergeCell ref="C17:C18"/>
    <mergeCell ref="B19:B20"/>
    <mergeCell ref="C19:C20"/>
    <mergeCell ref="M23:M24"/>
    <mergeCell ref="J24:K25"/>
    <mergeCell ref="L24:L25"/>
    <mergeCell ref="I25:I26"/>
    <mergeCell ref="J26:J27"/>
    <mergeCell ref="K26:K27"/>
    <mergeCell ref="J34:K35"/>
    <mergeCell ref="F13:F14"/>
    <mergeCell ref="B47:B48"/>
    <mergeCell ref="N53:N54"/>
    <mergeCell ref="M41:M42"/>
    <mergeCell ref="F51:F52"/>
    <mergeCell ref="G51:G52"/>
    <mergeCell ref="H51:H52"/>
    <mergeCell ref="L54:L55"/>
    <mergeCell ref="L48:L49"/>
    <mergeCell ref="P31:P32"/>
    <mergeCell ref="M27:M28"/>
    <mergeCell ref="I13:I14"/>
    <mergeCell ref="I23:I24"/>
    <mergeCell ref="K16:K17"/>
    <mergeCell ref="A45:A48"/>
    <mergeCell ref="B21:B22"/>
    <mergeCell ref="A17:A20"/>
    <mergeCell ref="B26:B27"/>
    <mergeCell ref="C26:C27"/>
    <mergeCell ref="B9:B10"/>
    <mergeCell ref="C9:C10"/>
    <mergeCell ref="D9:D10"/>
    <mergeCell ref="B12:B13"/>
    <mergeCell ref="C12:C13"/>
    <mergeCell ref="D12:D13"/>
    <mergeCell ref="H59:H60"/>
    <mergeCell ref="D59:D60"/>
    <mergeCell ref="B59:B60"/>
    <mergeCell ref="F59:F60"/>
    <mergeCell ref="O15:O16"/>
    <mergeCell ref="P15:P16"/>
    <mergeCell ref="P33:P34"/>
    <mergeCell ref="M31:N34"/>
    <mergeCell ref="L26:L27"/>
    <mergeCell ref="O33:O34"/>
    <mergeCell ref="I51:I52"/>
    <mergeCell ref="B56:D57"/>
    <mergeCell ref="F55:F56"/>
    <mergeCell ref="E45:E46"/>
    <mergeCell ref="E43:E44"/>
    <mergeCell ref="H49:H50"/>
    <mergeCell ref="B43:B44"/>
    <mergeCell ref="C43:C44"/>
    <mergeCell ref="D43:D44"/>
    <mergeCell ref="J6:K7"/>
    <mergeCell ref="J12:K13"/>
    <mergeCell ref="L12:L13"/>
    <mergeCell ref="J18:K19"/>
    <mergeCell ref="L18:L19"/>
    <mergeCell ref="L14:L15"/>
    <mergeCell ref="L16:L17"/>
    <mergeCell ref="J8:J9"/>
    <mergeCell ref="K8:K9"/>
    <mergeCell ref="K10:K11"/>
    <mergeCell ref="L6:L7"/>
    <mergeCell ref="N13:N14"/>
    <mergeCell ref="M11:M12"/>
    <mergeCell ref="L10:L11"/>
    <mergeCell ref="N9:N10"/>
    <mergeCell ref="L8:L9"/>
    <mergeCell ref="M9:M10"/>
    <mergeCell ref="M13:M14"/>
    <mergeCell ref="N11:N12"/>
    <mergeCell ref="O12:O13"/>
    <mergeCell ref="P29:P30"/>
    <mergeCell ref="O6:P7"/>
    <mergeCell ref="P8:P9"/>
    <mergeCell ref="P10:P11"/>
    <mergeCell ref="P12:P13"/>
    <mergeCell ref="O8:O9"/>
    <mergeCell ref="O10:O11"/>
    <mergeCell ref="P17:P18"/>
    <mergeCell ref="P19:P20"/>
  </mergeCells>
  <conditionalFormatting sqref="M11:M14 H11:H14 H23:H26 F11:F14 F23:F26 M51:M54 D17:D20 M23:M26 M39:M42 H39:H42 H51:H54 F39:F42 F51:F54 O17:O20 B17:B20 O45:O48 B45:B48 D45:D48">
    <cfRule type="expression" priority="80" dxfId="59" stopIfTrue="1">
      <formula>IF(C11=C$4,TRUE,)</formula>
    </cfRule>
    <cfRule type="expression" priority="81" dxfId="58" stopIfTrue="1">
      <formula>IF(AND(ISNUMBER(C11),C11&lt;C$4),TRUE,)</formula>
    </cfRule>
  </conditionalFormatting>
  <conditionalFormatting sqref="N11:N14 N23:N26 N39:N42 N51:N54 P17:P20 P45:P48 L8:L11 L14:L17 L20:L23 L26:L28 L42:L45 L48:L51 L54:L57 I11:I14 I23:I26 I39:I42 I51:I54 G11:G14 G23:G26 G39:G42 G51:G54 E17:E20 E45:E48 C17:C20 C45:C48 L36 L38:L39">
    <cfRule type="cellIs" priority="82" dxfId="59" operator="equal" stopIfTrue="1">
      <formula>C$4</formula>
    </cfRule>
    <cfRule type="cellIs" priority="83" dxfId="58" operator="lessThan" stopIfTrue="1">
      <formula>C$4</formula>
    </cfRule>
  </conditionalFormatting>
  <conditionalFormatting sqref="C26:C28 C36 C38:C39">
    <cfRule type="cellIs" priority="84" dxfId="59" operator="equal" stopIfTrue="1">
      <formula>$C$9</formula>
    </cfRule>
    <cfRule type="cellIs" priority="85" dxfId="58" operator="lessThan" stopIfTrue="1">
      <formula>$C$9</formula>
    </cfRule>
  </conditionalFormatting>
  <conditionalFormatting sqref="D31:D34 B26:B28 B36 B38:B39">
    <cfRule type="expression" priority="86" dxfId="59" stopIfTrue="1">
      <formula>IF(C26=$C$9,TRUE,)</formula>
    </cfRule>
    <cfRule type="expression" priority="87" dxfId="58" stopIfTrue="1">
      <formula>IF(AND(ISNUMBER(C26),C26&lt;$C$9),TRUE,)</formula>
    </cfRule>
  </conditionalFormatting>
  <conditionalFormatting sqref="P31:P34">
    <cfRule type="cellIs" priority="88" dxfId="59" operator="equal" stopIfTrue="1">
      <formula>$C$12</formula>
    </cfRule>
    <cfRule type="cellIs" priority="89" dxfId="58" operator="lessThan" stopIfTrue="1">
      <formula>$C$12</formula>
    </cfRule>
  </conditionalFormatting>
  <conditionalFormatting sqref="J8:J11 J14:J17 J20:J23 J26:J28 J42:J45 J48:J51 J54:J57 J38:J39 J36">
    <cfRule type="cellIs" priority="90" dxfId="62" operator="equal" stopIfTrue="1">
      <formula>"W.O."</formula>
    </cfRule>
    <cfRule type="expression" priority="91" dxfId="59" stopIfTrue="1">
      <formula>IF(L8=L$4,TRUE,)</formula>
    </cfRule>
    <cfRule type="expression" priority="92" dxfId="58" stopIfTrue="1">
      <formula>IF(AND(ISNUMBER(L8),L8&lt;L$4),TRUE,)</formula>
    </cfRule>
  </conditionalFormatting>
  <conditionalFormatting sqref="O31:O34">
    <cfRule type="expression" priority="93" dxfId="59" stopIfTrue="1">
      <formula>IF(P31=$C$12,TRUE,)</formula>
    </cfRule>
    <cfRule type="expression" priority="94" dxfId="58" stopIfTrue="1">
      <formula>IF(AND(ISNUMBER(P31),P31&lt;C$12),TRUE,)</formula>
    </cfRule>
  </conditionalFormatting>
  <conditionalFormatting sqref="L6:L7 P29:P30">
    <cfRule type="expression" priority="72" dxfId="1" stopIfTrue="1">
      <formula>ISNUMBER(L8)</formula>
    </cfRule>
    <cfRule type="expression" priority="76" dxfId="0" stopIfTrue="1">
      <formula>ISNUMBER(L6)</formula>
    </cfRule>
  </conditionalFormatting>
  <conditionalFormatting sqref="L12:L13">
    <cfRule type="expression" priority="68" dxfId="1" stopIfTrue="1">
      <formula>ISNUMBER(L14)</formula>
    </cfRule>
    <cfRule type="expression" priority="69" dxfId="0" stopIfTrue="1">
      <formula>ISNUMBER(L12)</formula>
    </cfRule>
  </conditionalFormatting>
  <conditionalFormatting sqref="L18:L19">
    <cfRule type="expression" priority="64" dxfId="1" stopIfTrue="1">
      <formula>ISNUMBER(L20)</formula>
    </cfRule>
    <cfRule type="expression" priority="65" dxfId="0" stopIfTrue="1">
      <formula>ISNUMBER(L18)</formula>
    </cfRule>
  </conditionalFormatting>
  <conditionalFormatting sqref="L24:L25">
    <cfRule type="expression" priority="60" dxfId="1" stopIfTrue="1">
      <formula>ISNUMBER(L26)</formula>
    </cfRule>
    <cfRule type="expression" priority="61" dxfId="0" stopIfTrue="1">
      <formula>ISNUMBER(L24)</formula>
    </cfRule>
  </conditionalFormatting>
  <conditionalFormatting sqref="L40:L41">
    <cfRule type="expression" priority="52" dxfId="1" stopIfTrue="1">
      <formula>ISNUMBER(L42)</formula>
    </cfRule>
    <cfRule type="expression" priority="53" dxfId="0" stopIfTrue="1">
      <formula>ISNUMBER(L40)</formula>
    </cfRule>
  </conditionalFormatting>
  <conditionalFormatting sqref="L46:L47">
    <cfRule type="expression" priority="48" dxfId="1" stopIfTrue="1">
      <formula>ISNUMBER(L48)</formula>
    </cfRule>
    <cfRule type="expression" priority="49" dxfId="0" stopIfTrue="1">
      <formula>ISNUMBER(L46)</formula>
    </cfRule>
  </conditionalFormatting>
  <conditionalFormatting sqref="L52:L53">
    <cfRule type="expression" priority="44" dxfId="1" stopIfTrue="1">
      <formula>ISNUMBER(L54)</formula>
    </cfRule>
    <cfRule type="expression" priority="45" dxfId="0" stopIfTrue="1">
      <formula>ISNUMBER(L52)</formula>
    </cfRule>
  </conditionalFormatting>
  <conditionalFormatting sqref="N9:N10">
    <cfRule type="expression" priority="41" dxfId="1" stopIfTrue="1">
      <formula>ISNUMBER(N11)</formula>
    </cfRule>
    <cfRule type="expression" priority="42" dxfId="0" stopIfTrue="1">
      <formula>ISNUMBER(N9)</formula>
    </cfRule>
  </conditionalFormatting>
  <conditionalFormatting sqref="N21:N22">
    <cfRule type="expression" priority="39" dxfId="1" stopIfTrue="1">
      <formula>ISNUMBER(N23)</formula>
    </cfRule>
    <cfRule type="expression" priority="40" dxfId="0" stopIfTrue="1">
      <formula>ISNUMBER(N21)</formula>
    </cfRule>
  </conditionalFormatting>
  <conditionalFormatting sqref="N37:N38">
    <cfRule type="expression" priority="37" dxfId="1" stopIfTrue="1">
      <formula>ISNUMBER(N39)</formula>
    </cfRule>
    <cfRule type="expression" priority="38" dxfId="0" stopIfTrue="1">
      <formula>ISNUMBER(N37)</formula>
    </cfRule>
  </conditionalFormatting>
  <conditionalFormatting sqref="N49:N50">
    <cfRule type="expression" priority="35" dxfId="1" stopIfTrue="1">
      <formula>ISNUMBER(N51)</formula>
    </cfRule>
    <cfRule type="expression" priority="36" dxfId="0" stopIfTrue="1">
      <formula>ISNUMBER(N49)</formula>
    </cfRule>
  </conditionalFormatting>
  <conditionalFormatting sqref="C43:C44">
    <cfRule type="expression" priority="33" dxfId="1" stopIfTrue="1">
      <formula>ISNUMBER(C45)</formula>
    </cfRule>
    <cfRule type="expression" priority="34" dxfId="0" stopIfTrue="1">
      <formula>ISNUMBER(C43)</formula>
    </cfRule>
  </conditionalFormatting>
  <conditionalFormatting sqref="E43:E44">
    <cfRule type="expression" priority="31" dxfId="1" stopIfTrue="1">
      <formula>ISNUMBER(E45)</formula>
    </cfRule>
    <cfRule type="expression" priority="32" dxfId="0" stopIfTrue="1">
      <formula>ISNUMBER(E43)</formula>
    </cfRule>
  </conditionalFormatting>
  <conditionalFormatting sqref="E15:E16">
    <cfRule type="expression" priority="29" dxfId="1" stopIfTrue="1">
      <formula>ISNUMBER(E17)</formula>
    </cfRule>
    <cfRule type="expression" priority="30" dxfId="0" stopIfTrue="1">
      <formula>ISNUMBER(E15)</formula>
    </cfRule>
  </conditionalFormatting>
  <conditionalFormatting sqref="C15:C16">
    <cfRule type="expression" priority="27" dxfId="1" stopIfTrue="1">
      <formula>ISNUMBER(C17)</formula>
    </cfRule>
    <cfRule type="expression" priority="28" dxfId="0" stopIfTrue="1">
      <formula>ISNUMBER(C15)</formula>
    </cfRule>
  </conditionalFormatting>
  <conditionalFormatting sqref="E28">
    <cfRule type="expression" priority="25" dxfId="1" stopIfTrue="1">
      <formula>ISNUMBER(C26)</formula>
    </cfRule>
    <cfRule type="expression" priority="26" dxfId="0" stopIfTrue="1">
      <formula>ISNUMBER(E28)</formula>
    </cfRule>
  </conditionalFormatting>
  <conditionalFormatting sqref="E36:E37">
    <cfRule type="expression" priority="23" dxfId="1" stopIfTrue="1">
      <formula>ISNUMBER(C36)</formula>
    </cfRule>
    <cfRule type="expression" priority="24" dxfId="0" stopIfTrue="1">
      <formula>ISNUMBER(E36)</formula>
    </cfRule>
  </conditionalFormatting>
  <conditionalFormatting sqref="I9:I10">
    <cfRule type="expression" priority="21" dxfId="1" stopIfTrue="1">
      <formula>ISNUMBER(I11)</formula>
    </cfRule>
    <cfRule type="expression" priority="22" dxfId="0" stopIfTrue="1">
      <formula>ISNUMBER(I9)</formula>
    </cfRule>
  </conditionalFormatting>
  <conditionalFormatting sqref="I21:I22">
    <cfRule type="expression" priority="19" dxfId="1" stopIfTrue="1">
      <formula>ISNUMBER(I23)</formula>
    </cfRule>
    <cfRule type="expression" priority="20" dxfId="0" stopIfTrue="1">
      <formula>ISNUMBER(I21)</formula>
    </cfRule>
  </conditionalFormatting>
  <conditionalFormatting sqref="I37:I38">
    <cfRule type="expression" priority="17" dxfId="1" stopIfTrue="1">
      <formula>ISNUMBER(I39)</formula>
    </cfRule>
    <cfRule type="expression" priority="18" dxfId="0" stopIfTrue="1">
      <formula>ISNUMBER(I37)</formula>
    </cfRule>
  </conditionalFormatting>
  <conditionalFormatting sqref="I49:I50">
    <cfRule type="expression" priority="15" dxfId="1" stopIfTrue="1">
      <formula>ISNUMBER(I51)</formula>
    </cfRule>
    <cfRule type="expression" priority="16" dxfId="0" stopIfTrue="1">
      <formula>ISNUMBER(I49)</formula>
    </cfRule>
  </conditionalFormatting>
  <conditionalFormatting sqref="G49:G50">
    <cfRule type="expression" priority="13" dxfId="1" stopIfTrue="1">
      <formula>ISNUMBER(G51)</formula>
    </cfRule>
    <cfRule type="expression" priority="14" dxfId="0" stopIfTrue="1">
      <formula>ISNUMBER(G49)</formula>
    </cfRule>
  </conditionalFormatting>
  <conditionalFormatting sqref="G37:G38">
    <cfRule type="expression" priority="11" dxfId="1" stopIfTrue="1">
      <formula>ISNUMBER(G39)</formula>
    </cfRule>
    <cfRule type="expression" priority="12" dxfId="0" stopIfTrue="1">
      <formula>ISNUMBER(G37)</formula>
    </cfRule>
  </conditionalFormatting>
  <conditionalFormatting sqref="G21:G22">
    <cfRule type="expression" priority="9" dxfId="1" stopIfTrue="1">
      <formula>ISNUMBER(G23)</formula>
    </cfRule>
    <cfRule type="expression" priority="10" dxfId="0" stopIfTrue="1">
      <formula>ISNUMBER(G21)</formula>
    </cfRule>
  </conditionalFormatting>
  <conditionalFormatting sqref="G9:G10">
    <cfRule type="expression" priority="7" dxfId="1" stopIfTrue="1">
      <formula>ISNUMBER(G11)</formula>
    </cfRule>
    <cfRule type="expression" priority="8" dxfId="0" stopIfTrue="1">
      <formula>ISNUMBER(G9)</formula>
    </cfRule>
  </conditionalFormatting>
  <conditionalFormatting sqref="P15:P16">
    <cfRule type="expression" priority="3" dxfId="1" stopIfTrue="1">
      <formula>ISNUMBER(P17)</formula>
    </cfRule>
    <cfRule type="expression" priority="4" dxfId="0" stopIfTrue="1">
      <formula>ISNUMBER(P15)</formula>
    </cfRule>
  </conditionalFormatting>
  <conditionalFormatting sqref="P43:P44">
    <cfRule type="expression" priority="1" dxfId="1" stopIfTrue="1">
      <formula>ISNUMBER(P45)</formula>
    </cfRule>
    <cfRule type="expression" priority="2" dxfId="0" stopIfTrue="1">
      <formula>ISNUMBER(P43)</formula>
    </cfRule>
  </conditionalFormatting>
  <conditionalFormatting sqref="L34">
    <cfRule type="expression" priority="95" dxfId="1" stopIfTrue="1">
      <formula>ISNUMBER(L36)</formula>
    </cfRule>
    <cfRule type="expression" priority="96" dxfId="0" stopIfTrue="1">
      <formula>ISNUMBER(L34)</formula>
    </cfRule>
  </conditionalFormatting>
  <conditionalFormatting sqref="L35">
    <cfRule type="expression" priority="116" dxfId="1" stopIfTrue="1">
      <formula>ISNUMBER('16_4 kaavio'!#REF!)</formula>
    </cfRule>
    <cfRule type="expression" priority="117" dxfId="0" stopIfTrue="1">
      <formula>ISNUMBER(L35)</formula>
    </cfRule>
  </conditionalFormatting>
  <printOptions/>
  <pageMargins left="0.07874015748031496" right="0.07874015748031496" top="0.6692913385826772" bottom="0.984251968503937" header="0.5118110236220472" footer="0.5118110236220472"/>
  <pageSetup fitToHeight="1" fitToWidth="1" horizontalDpi="600" verticalDpi="600" orientation="landscape" paperSize="9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BB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7.28125" style="0" customWidth="1"/>
    <col min="3" max="3" width="7.57421875" style="0" customWidth="1"/>
    <col min="4" max="4" width="3.8515625" style="0" bestFit="1" customWidth="1"/>
    <col min="5" max="5" width="7.28125" style="0" customWidth="1"/>
    <col min="6" max="6" width="23.8515625" style="0" customWidth="1"/>
    <col min="7" max="7" width="13.140625" style="0" customWidth="1"/>
    <col min="8" max="8" width="2.7109375" style="0" customWidth="1"/>
    <col min="9" max="9" width="1.7109375" style="0" customWidth="1"/>
    <col min="10" max="11" width="2.7109375" style="0" customWidth="1"/>
    <col min="12" max="12" width="1.7109375" style="0" customWidth="1"/>
    <col min="13" max="14" width="2.7109375" style="0" customWidth="1"/>
    <col min="15" max="15" width="1.7109375" style="0" customWidth="1"/>
    <col min="16" max="17" width="2.7109375" style="0" customWidth="1"/>
    <col min="18" max="18" width="1.7109375" style="0" customWidth="1"/>
    <col min="19" max="20" width="2.7109375" style="0" customWidth="1"/>
    <col min="21" max="21" width="1.7109375" style="0" customWidth="1"/>
    <col min="22" max="23" width="2.7109375" style="0" customWidth="1"/>
    <col min="24" max="24" width="1.7109375" style="0" customWidth="1"/>
    <col min="25" max="26" width="2.7109375" style="0" customWidth="1"/>
    <col min="27" max="27" width="1.7109375" style="0" customWidth="1"/>
    <col min="28" max="29" width="2.7109375" style="0" customWidth="1"/>
    <col min="30" max="30" width="1.7109375" style="0" customWidth="1"/>
    <col min="31" max="32" width="2.7109375" style="0" customWidth="1"/>
    <col min="33" max="33" width="1.7109375" style="0" customWidth="1"/>
    <col min="34" max="35" width="2.7109375" style="0" customWidth="1"/>
    <col min="36" max="36" width="1.7109375" style="0" customWidth="1"/>
    <col min="37" max="38" width="2.7109375" style="0" customWidth="1"/>
    <col min="39" max="39" width="1.7109375" style="0" customWidth="1"/>
    <col min="40" max="41" width="2.7109375" style="0" customWidth="1"/>
    <col min="42" max="42" width="1.7109375" style="0" customWidth="1"/>
    <col min="43" max="43" width="2.7109375" style="0" customWidth="1"/>
    <col min="44" max="44" width="3.7109375" style="0" customWidth="1"/>
    <col min="45" max="45" width="1.7109375" style="0" customWidth="1"/>
    <col min="46" max="46" width="4.00390625" style="0" customWidth="1"/>
    <col min="47" max="47" width="3.28125" style="0" customWidth="1"/>
    <col min="48" max="48" width="9.421875" style="0" hidden="1" customWidth="1"/>
    <col min="49" max="49" width="24.00390625" style="0" customWidth="1"/>
  </cols>
  <sheetData>
    <row r="1" spans="1:48" ht="18">
      <c r="A1" s="10" t="str">
        <f>Ilmoittautuminen!A1</f>
        <v>Pyramidi RG1 Nevskaja, Kotka/KaKa</v>
      </c>
      <c r="AV1" s="7"/>
    </row>
    <row r="2" spans="1:49" ht="18">
      <c r="A2" s="10"/>
      <c r="AV2" s="7"/>
      <c r="AW2" s="7" t="s">
        <v>54</v>
      </c>
    </row>
    <row r="3" spans="1:49" ht="16.5" thickBot="1">
      <c r="A3" s="7" t="s">
        <v>25</v>
      </c>
      <c r="B3" s="13" t="s">
        <v>3</v>
      </c>
      <c r="C3" s="7" t="s">
        <v>23</v>
      </c>
      <c r="D3" s="7" t="s">
        <v>24</v>
      </c>
      <c r="E3" s="7" t="s">
        <v>23</v>
      </c>
      <c r="F3" s="7" t="s">
        <v>25</v>
      </c>
      <c r="G3" s="13" t="s">
        <v>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V3" s="7" t="s">
        <v>54</v>
      </c>
      <c r="AW3" s="74" t="s">
        <v>124</v>
      </c>
    </row>
    <row r="4" spans="1:52" ht="16.5" thickBot="1">
      <c r="A4" s="7" t="s">
        <v>52</v>
      </c>
      <c r="B4" s="13"/>
      <c r="C4" s="7"/>
      <c r="D4" s="7"/>
      <c r="E4" s="7"/>
      <c r="F4" s="7"/>
      <c r="G4" s="13"/>
      <c r="H4" s="29" t="s">
        <v>23</v>
      </c>
      <c r="I4" s="30"/>
      <c r="J4" s="31"/>
      <c r="K4" s="165" t="s">
        <v>39</v>
      </c>
      <c r="L4" s="166"/>
      <c r="M4" s="166"/>
      <c r="N4" s="166" t="s">
        <v>40</v>
      </c>
      <c r="O4" s="166"/>
      <c r="P4" s="166"/>
      <c r="Q4" s="166" t="s">
        <v>41</v>
      </c>
      <c r="R4" s="166"/>
      <c r="S4" s="166"/>
      <c r="T4" s="166" t="s">
        <v>42</v>
      </c>
      <c r="U4" s="166"/>
      <c r="V4" s="166"/>
      <c r="W4" s="166" t="s">
        <v>43</v>
      </c>
      <c r="X4" s="166"/>
      <c r="Y4" s="166"/>
      <c r="Z4" s="166" t="s">
        <v>44</v>
      </c>
      <c r="AA4" s="166"/>
      <c r="AB4" s="166"/>
      <c r="AC4" s="166" t="s">
        <v>45</v>
      </c>
      <c r="AD4" s="166"/>
      <c r="AE4" s="166"/>
      <c r="AF4" s="166" t="s">
        <v>46</v>
      </c>
      <c r="AG4" s="166"/>
      <c r="AH4" s="166"/>
      <c r="AI4" s="166" t="s">
        <v>47</v>
      </c>
      <c r="AJ4" s="166"/>
      <c r="AK4" s="166"/>
      <c r="AL4" s="166" t="s">
        <v>48</v>
      </c>
      <c r="AM4" s="166"/>
      <c r="AN4" s="166"/>
      <c r="AO4" s="166" t="s">
        <v>49</v>
      </c>
      <c r="AP4" s="166"/>
      <c r="AQ4" s="166"/>
      <c r="AR4" s="166" t="s">
        <v>53</v>
      </c>
      <c r="AS4" s="166"/>
      <c r="AT4" s="166"/>
      <c r="AU4" s="45"/>
      <c r="AV4" t="str">
        <f>A4</f>
        <v>1. Kierros</v>
      </c>
      <c r="AW4" t="str">
        <f>AY4&amp;A4&amp;AZ4</f>
        <v>[b]1. Kierros[/b]</v>
      </c>
      <c r="AY4" t="s">
        <v>104</v>
      </c>
      <c r="AZ4" t="s">
        <v>105</v>
      </c>
    </row>
    <row r="5" spans="1:54" ht="15">
      <c r="A5" s="6" t="str">
        <f>'16_4 kaavio'!J8</f>
        <v>NN</v>
      </c>
      <c r="B5" s="14" t="str">
        <f>VLOOKUP(A5,Ilmoittautuminen!$B$3:$C$18,2,FALSE)</f>
        <v>BK</v>
      </c>
      <c r="C5" s="48">
        <f>'16_4 kaavio'!L8</f>
        <v>0</v>
      </c>
      <c r="D5" s="12" t="s">
        <v>26</v>
      </c>
      <c r="E5" s="48">
        <f>'16_4 kaavio'!L10</f>
        <v>0</v>
      </c>
      <c r="F5" s="6" t="str">
        <f>'16_4 kaavio'!J10</f>
        <v>W.O.</v>
      </c>
      <c r="G5" s="14">
        <f>VLOOKUP(F5,Ilmoittautuminen!$B$3:$C$18,2,FALSE)</f>
        <v>0</v>
      </c>
      <c r="H5" s="32">
        <f>IF(OR(A5="W.O.",F5="W.O."),0,COUNTIF(K5,8)+COUNTIF(N5,8)+COUNTIF(Q5,8)+COUNTIF(T5,8)+COUNTIF(W5,8)+COUNTIF(Z5,8)+COUNTIF(AC5,8)+COUNTIF(AF5,8)+COUNTIF(AI5,8)+COUNTIF(AL5,8)+COUNTIF(AO5,8))</f>
        <v>0</v>
      </c>
      <c r="I5" s="33" t="s">
        <v>26</v>
      </c>
      <c r="J5" s="34">
        <f>IF(OR(A5="W.O.",F5="W.O."),0,COUNTIF(M5,8)+COUNTIF(P5,8)+COUNTIF(S5,8)+COUNTIF(V5,8)+COUNTIF(Y5,8)+COUNTIF(AB5,8)+COUNTIF(AE5,8)+COUNTIF(AH5,8)+COUNTIF(AK5,8)+COUNTIF(AN5,8)+COUNTIF(AQ5,8))</f>
        <v>0</v>
      </c>
      <c r="K5" s="35"/>
      <c r="L5" s="36">
        <f>IF(ISNUMBER(K5),"-","")</f>
      </c>
      <c r="M5" s="37"/>
      <c r="N5" s="38"/>
      <c r="O5" s="36">
        <f>IF(ISNUMBER(N5),"-","")</f>
      </c>
      <c r="P5" s="37"/>
      <c r="Q5" s="38"/>
      <c r="R5" s="36">
        <f>IF(ISNUMBER(Q5),"-","")</f>
      </c>
      <c r="S5" s="37"/>
      <c r="T5" s="38"/>
      <c r="U5" s="36">
        <f>IF(ISNUMBER(T5),"-","")</f>
      </c>
      <c r="V5" s="37"/>
      <c r="W5" s="38"/>
      <c r="X5" s="36">
        <f>IF(ISNUMBER(W5),"-","")</f>
      </c>
      <c r="Y5" s="37"/>
      <c r="Z5" s="38"/>
      <c r="AA5" s="36">
        <f>IF(ISNUMBER(Z5),"-","")</f>
      </c>
      <c r="AB5" s="37"/>
      <c r="AC5" s="38"/>
      <c r="AD5" s="36">
        <f>IF(ISNUMBER(AC5),"-","")</f>
      </c>
      <c r="AE5" s="37"/>
      <c r="AF5" s="38"/>
      <c r="AG5" s="36">
        <f>IF(ISNUMBER(AF5),"-","")</f>
      </c>
      <c r="AH5" s="37"/>
      <c r="AI5" s="38"/>
      <c r="AJ5" s="36">
        <f>IF(ISNUMBER(AI5),"-","")</f>
      </c>
      <c r="AK5" s="37"/>
      <c r="AL5" s="38"/>
      <c r="AM5" s="36">
        <f>IF(ISNUMBER(AL5),"-","")</f>
      </c>
      <c r="AN5" s="37"/>
      <c r="AO5" s="36"/>
      <c r="AP5" s="39">
        <f>IF(ISNUMBER(AO5),"-","")</f>
      </c>
      <c r="AQ5" s="36"/>
      <c r="AR5" s="38">
        <f aca="true" t="shared" si="0" ref="AR5:AR12">SUM(K5+N5+Q5+T5+W5+Z5+AC5+AF5+AI5+AL5+AO5)</f>
        <v>0</v>
      </c>
      <c r="AS5" s="36" t="str">
        <f aca="true" t="shared" si="1" ref="AS5:AS12">IF(ISNUMBER(AR5),"-","")</f>
        <v>-</v>
      </c>
      <c r="AT5" s="37">
        <f>(M5+P5+S5+V5+Y5+AB5+AE5+AH5+AK5+AN5+AQ5)</f>
        <v>0</v>
      </c>
      <c r="AU5" s="19"/>
      <c r="AV5" t="str">
        <f>CONCATENATE(AY5,A5,AZ5," ",B5," - ",BA5,F5,BB5," ",G5,"  (",C5,"-",E5,") ",K5,M5,"  ",N5,P5,"  ",Q5,S5,"  ",T5,V5,"  ")</f>
        <v>--NN-- BK - --W.O.-- 0  (0-0)         </v>
      </c>
      <c r="AW5" t="str">
        <f>CONCATENATE(AV5,W5,Y5,"  ",Z5,AB5,"  ",AC5,AE5,"  ",AF5,AH5,"  ",AI5,AJ5,AK5,"  ",AL5,AN5,"  ",AO5,AQ5,"; ",AR5,"-",AT5)</f>
        <v>--NN-- BK - --W.O.-- 0  (0-0)                     ; 0-0</v>
      </c>
      <c r="AY5" t="str">
        <f>IF(AND($C5=0,$E5=0),"--",IF(C5&gt;E5,"[b]",""))</f>
        <v>--</v>
      </c>
      <c r="AZ5" t="str">
        <f>IF(AND($C5=0,$E5=0),"--",IF(C5&gt;E5,"[/b]",""))</f>
        <v>--</v>
      </c>
      <c r="BA5" t="str">
        <f>IF(AND($C5=0,$E5=0),"--",IF(C5&lt;E5,"[b]",""))</f>
        <v>--</v>
      </c>
      <c r="BB5" t="str">
        <f>IF(AND($C5=0,$E5=0),"--",IF(C5&lt;E5,"[/b]",""))</f>
        <v>--</v>
      </c>
    </row>
    <row r="6" spans="1:54" ht="15">
      <c r="A6" s="6" t="str">
        <f>'16_4 kaavio'!J14</f>
        <v>W.O.</v>
      </c>
      <c r="B6" s="14">
        <f>VLOOKUP(A6,Ilmoittautuminen!$B$3:$C$18,2,FALSE)</f>
        <v>0</v>
      </c>
      <c r="C6" s="48">
        <f>'16_4 kaavio'!L14</f>
        <v>0</v>
      </c>
      <c r="D6" s="12" t="s">
        <v>26</v>
      </c>
      <c r="E6" s="48">
        <f>'16_4 kaavio'!L16</f>
        <v>0</v>
      </c>
      <c r="F6" s="6" t="str">
        <f>'16_4 kaavio'!J16</f>
        <v>W.O.</v>
      </c>
      <c r="G6" s="14">
        <f>VLOOKUP(F6,Ilmoittautuminen!$B$3:$C$18,2,FALSE)</f>
        <v>0</v>
      </c>
      <c r="H6" s="32">
        <f aca="true" t="shared" si="2" ref="H6:H12">IF(OR(A6="W.O.",F6="W.O."),0,COUNTIF(K6,8)+COUNTIF(N6,8)+COUNTIF(Q6,8)+COUNTIF(T6,8)+COUNTIF(W6,8)+COUNTIF(Z6,8)+COUNTIF(AC6,8)+COUNTIF(AF6,8)+COUNTIF(AI6,8)+COUNTIF(AL6,8)+COUNTIF(AO6,8))</f>
        <v>0</v>
      </c>
      <c r="I6" s="40" t="s">
        <v>26</v>
      </c>
      <c r="J6" s="34">
        <f aca="true" t="shared" si="3" ref="J6:J12">IF(OR(A6="W.O.",F6="W.O."),0,COUNTIF(M6,8)+COUNTIF(P6,8)+COUNTIF(S6,8)+COUNTIF(V6,8)+COUNTIF(Y6,8)+COUNTIF(AB6,8)+COUNTIF(AE6,8)+COUNTIF(AH6,8)+COUNTIF(AK6,8)+COUNTIF(AN6,8)+COUNTIF(AQ6,8))</f>
        <v>0</v>
      </c>
      <c r="K6" s="41"/>
      <c r="L6" s="42">
        <f aca="true" t="shared" si="4" ref="L6:L12">IF(ISNUMBER(K6),"-","")</f>
      </c>
      <c r="M6" s="43"/>
      <c r="N6" s="44"/>
      <c r="O6" s="42">
        <f aca="true" t="shared" si="5" ref="O6:O12">IF(ISNUMBER(N6),"-","")</f>
      </c>
      <c r="P6" s="43"/>
      <c r="Q6" s="44"/>
      <c r="R6" s="42">
        <f aca="true" t="shared" si="6" ref="R6:R12">IF(ISNUMBER(Q6),"-","")</f>
      </c>
      <c r="S6" s="43"/>
      <c r="T6" s="44"/>
      <c r="U6" s="42">
        <f aca="true" t="shared" si="7" ref="U6:U12">IF(ISNUMBER(T6),"-","")</f>
      </c>
      <c r="V6" s="43"/>
      <c r="W6" s="44"/>
      <c r="X6" s="42">
        <f aca="true" t="shared" si="8" ref="X6:X12">IF(ISNUMBER(W6),"-","")</f>
      </c>
      <c r="Y6" s="43"/>
      <c r="Z6" s="44"/>
      <c r="AA6" s="42">
        <f aca="true" t="shared" si="9" ref="AA6:AA12">IF(ISNUMBER(Z6),"-","")</f>
      </c>
      <c r="AB6" s="43"/>
      <c r="AC6" s="44"/>
      <c r="AD6" s="42">
        <f aca="true" t="shared" si="10" ref="AD6:AD12">IF(ISNUMBER(AC6),"-","")</f>
      </c>
      <c r="AE6" s="43"/>
      <c r="AF6" s="44"/>
      <c r="AG6" s="42">
        <f aca="true" t="shared" si="11" ref="AG6:AG12">IF(ISNUMBER(AF6),"-","")</f>
      </c>
      <c r="AH6" s="43"/>
      <c r="AI6" s="44"/>
      <c r="AJ6" s="42">
        <f aca="true" t="shared" si="12" ref="AJ6:AJ12">IF(ISNUMBER(AI6),"-","")</f>
      </c>
      <c r="AK6" s="43"/>
      <c r="AL6" s="44"/>
      <c r="AM6" s="42">
        <f aca="true" t="shared" si="13" ref="AM6:AM12">IF(ISNUMBER(AL6),"-","")</f>
      </c>
      <c r="AN6" s="43"/>
      <c r="AO6" s="42"/>
      <c r="AP6" s="18">
        <f aca="true" t="shared" si="14" ref="AP6:AP12">IF(ISNUMBER(AO6),"-","")</f>
      </c>
      <c r="AQ6" s="42"/>
      <c r="AR6" s="44">
        <f t="shared" si="0"/>
        <v>0</v>
      </c>
      <c r="AS6" s="42" t="str">
        <f t="shared" si="1"/>
        <v>-</v>
      </c>
      <c r="AT6" s="43">
        <f aca="true" t="shared" si="15" ref="AT6:AT12">SUM(M6+P6+S6+V6+Y6+AB6+AE6+AH6+AK6+AN6+AQ6)</f>
        <v>0</v>
      </c>
      <c r="AU6" s="19"/>
      <c r="AV6" t="str">
        <f aca="true" t="shared" si="16" ref="AV6:AV12">CONCATENATE(AY6,A6,AZ6," ",B6," - ",BA6,F6,BB6," ",G6,"  (",C6,"-",E6,") ",K6,M6,"  ",N6,P6,"  ",Q6,S6,"  ",T6,V6,"  ")</f>
        <v>--W.O.-- 0 - --W.O.-- 0  (0-0)         </v>
      </c>
      <c r="AW6" t="str">
        <f aca="true" t="shared" si="17" ref="AW6:AW12">CONCATENATE(AV6,W6,Y6,"  ",Z6,AB6,"  ",AC6,AE6,"  ",AF6,AH6,"  ",AI6,AJ6,AK6,"  ",AL6,AN6,"  ",AO6,AQ6,"; ",AR6,"-",AT6)</f>
        <v>--W.O.-- 0 - --W.O.-- 0  (0-0)                     ; 0-0</v>
      </c>
      <c r="AY6" t="str">
        <f aca="true" t="shared" si="18" ref="AY6:AY12">IF(AND($C6=0,$E6=0),"--",IF(C6&gt;E6,"[b]",""))</f>
        <v>--</v>
      </c>
      <c r="AZ6" t="str">
        <f aca="true" t="shared" si="19" ref="AZ6:AZ12">IF(AND($C6=0,$E6=0),"--",IF(C6&gt;E6,"[/b]",""))</f>
        <v>--</v>
      </c>
      <c r="BA6" t="str">
        <f aca="true" t="shared" si="20" ref="BA6:BA12">IF(AND($C6=0,$E6=0),"--",IF(C6&lt;E6,"[b]",""))</f>
        <v>--</v>
      </c>
      <c r="BB6" t="str">
        <f aca="true" t="shared" si="21" ref="BB6:BB12">IF(AND($C6=0,$E6=0),"--",IF(C6&lt;E6,"[/b]",""))</f>
        <v>--</v>
      </c>
    </row>
    <row r="7" spans="1:54" ht="15">
      <c r="A7" s="6" t="str">
        <f>'16_4 kaavio'!J20</f>
        <v>W.O.</v>
      </c>
      <c r="B7" s="14">
        <f>VLOOKUP(A7,Ilmoittautuminen!$B$3:$C$18,2,FALSE)</f>
        <v>0</v>
      </c>
      <c r="C7" s="48">
        <f>'16_4 kaavio'!L20</f>
        <v>0</v>
      </c>
      <c r="D7" s="12" t="s">
        <v>26</v>
      </c>
      <c r="E7" s="48">
        <f>'16_4 kaavio'!L22</f>
        <v>0</v>
      </c>
      <c r="F7" s="6" t="str">
        <f>'16_4 kaavio'!J22</f>
        <v>W.O.</v>
      </c>
      <c r="G7" s="14">
        <f>VLOOKUP(F7,Ilmoittautuminen!$B$3:$C$18,2,FALSE)</f>
        <v>0</v>
      </c>
      <c r="H7" s="32">
        <f t="shared" si="2"/>
        <v>0</v>
      </c>
      <c r="I7" s="40" t="s">
        <v>26</v>
      </c>
      <c r="J7" s="34">
        <f t="shared" si="3"/>
        <v>0</v>
      </c>
      <c r="K7" s="41"/>
      <c r="L7" s="42">
        <f t="shared" si="4"/>
      </c>
      <c r="M7" s="43"/>
      <c r="N7" s="44"/>
      <c r="O7" s="42">
        <f t="shared" si="5"/>
      </c>
      <c r="P7" s="43"/>
      <c r="Q7" s="44"/>
      <c r="R7" s="42">
        <f t="shared" si="6"/>
      </c>
      <c r="S7" s="43"/>
      <c r="T7" s="44"/>
      <c r="U7" s="42">
        <f t="shared" si="7"/>
      </c>
      <c r="V7" s="43"/>
      <c r="W7" s="44"/>
      <c r="X7" s="42">
        <f t="shared" si="8"/>
      </c>
      <c r="Y7" s="43"/>
      <c r="Z7" s="44"/>
      <c r="AA7" s="42">
        <f t="shared" si="9"/>
      </c>
      <c r="AB7" s="43"/>
      <c r="AC7" s="44"/>
      <c r="AD7" s="42">
        <f t="shared" si="10"/>
      </c>
      <c r="AE7" s="43"/>
      <c r="AF7" s="44"/>
      <c r="AG7" s="42">
        <f t="shared" si="11"/>
      </c>
      <c r="AH7" s="43"/>
      <c r="AI7" s="44"/>
      <c r="AJ7" s="42">
        <f t="shared" si="12"/>
      </c>
      <c r="AK7" s="43"/>
      <c r="AL7" s="44"/>
      <c r="AM7" s="42">
        <f t="shared" si="13"/>
      </c>
      <c r="AN7" s="43"/>
      <c r="AO7" s="42"/>
      <c r="AP7" s="18">
        <f t="shared" si="14"/>
      </c>
      <c r="AQ7" s="42"/>
      <c r="AR7" s="44">
        <f t="shared" si="0"/>
        <v>0</v>
      </c>
      <c r="AS7" s="42" t="str">
        <f t="shared" si="1"/>
        <v>-</v>
      </c>
      <c r="AT7" s="43">
        <f t="shared" si="15"/>
        <v>0</v>
      </c>
      <c r="AU7" s="19"/>
      <c r="AV7" t="str">
        <f t="shared" si="16"/>
        <v>--W.O.-- 0 - --W.O.-- 0  (0-0)         </v>
      </c>
      <c r="AW7" t="str">
        <f t="shared" si="17"/>
        <v>--W.O.-- 0 - --W.O.-- 0  (0-0)                     ; 0-0</v>
      </c>
      <c r="AY7" t="str">
        <f t="shared" si="18"/>
        <v>--</v>
      </c>
      <c r="AZ7" t="str">
        <f t="shared" si="19"/>
        <v>--</v>
      </c>
      <c r="BA7" t="str">
        <f t="shared" si="20"/>
        <v>--</v>
      </c>
      <c r="BB7" t="str">
        <f t="shared" si="21"/>
        <v>--</v>
      </c>
    </row>
    <row r="8" spans="1:54" ht="15">
      <c r="A8" s="6" t="str">
        <f>'16_4 kaavio'!J26</f>
        <v>W.O.</v>
      </c>
      <c r="B8" s="14">
        <f>VLOOKUP(A8,Ilmoittautuminen!$B$3:$C$18,2,FALSE)</f>
        <v>0</v>
      </c>
      <c r="C8" s="48">
        <f>'16_4 kaavio'!L26</f>
        <v>0</v>
      </c>
      <c r="D8" s="12" t="s">
        <v>26</v>
      </c>
      <c r="E8" s="48">
        <f>'16_4 kaavio'!L28</f>
        <v>0</v>
      </c>
      <c r="F8" s="6" t="str">
        <f>'16_4 kaavio'!J28</f>
        <v>W.O.</v>
      </c>
      <c r="G8" s="14">
        <f>VLOOKUP(F8,Ilmoittautuminen!$B$3:$C$18,2,FALSE)</f>
        <v>0</v>
      </c>
      <c r="H8" s="32">
        <f t="shared" si="2"/>
        <v>0</v>
      </c>
      <c r="I8" s="40" t="s">
        <v>26</v>
      </c>
      <c r="J8" s="34">
        <f t="shared" si="3"/>
        <v>0</v>
      </c>
      <c r="K8" s="41"/>
      <c r="L8" s="42">
        <f t="shared" si="4"/>
      </c>
      <c r="M8" s="43"/>
      <c r="N8" s="44"/>
      <c r="O8" s="42">
        <f t="shared" si="5"/>
      </c>
      <c r="P8" s="43"/>
      <c r="Q8" s="44"/>
      <c r="R8" s="42">
        <f t="shared" si="6"/>
      </c>
      <c r="S8" s="43"/>
      <c r="T8" s="44"/>
      <c r="U8" s="42">
        <f t="shared" si="7"/>
      </c>
      <c r="V8" s="43"/>
      <c r="W8" s="44"/>
      <c r="X8" s="42">
        <f t="shared" si="8"/>
      </c>
      <c r="Y8" s="43"/>
      <c r="Z8" s="44"/>
      <c r="AA8" s="42">
        <f t="shared" si="9"/>
      </c>
      <c r="AB8" s="43"/>
      <c r="AC8" s="44"/>
      <c r="AD8" s="42">
        <f t="shared" si="10"/>
      </c>
      <c r="AE8" s="43"/>
      <c r="AF8" s="44"/>
      <c r="AG8" s="42">
        <f t="shared" si="11"/>
      </c>
      <c r="AH8" s="43"/>
      <c r="AI8" s="44"/>
      <c r="AJ8" s="42">
        <f t="shared" si="12"/>
      </c>
      <c r="AK8" s="43"/>
      <c r="AL8" s="44"/>
      <c r="AM8" s="42">
        <f t="shared" si="13"/>
      </c>
      <c r="AN8" s="43"/>
      <c r="AO8" s="42"/>
      <c r="AP8" s="18">
        <f t="shared" si="14"/>
      </c>
      <c r="AQ8" s="42"/>
      <c r="AR8" s="44">
        <f t="shared" si="0"/>
        <v>0</v>
      </c>
      <c r="AS8" s="42" t="str">
        <f t="shared" si="1"/>
        <v>-</v>
      </c>
      <c r="AT8" s="43">
        <f t="shared" si="15"/>
        <v>0</v>
      </c>
      <c r="AU8" s="19"/>
      <c r="AV8" t="str">
        <f t="shared" si="16"/>
        <v>--W.O.-- 0 - --W.O.-- 0  (0-0)         </v>
      </c>
      <c r="AW8" t="str">
        <f t="shared" si="17"/>
        <v>--W.O.-- 0 - --W.O.-- 0  (0-0)                     ; 0-0</v>
      </c>
      <c r="AY8" t="str">
        <f t="shared" si="18"/>
        <v>--</v>
      </c>
      <c r="AZ8" t="str">
        <f t="shared" si="19"/>
        <v>--</v>
      </c>
      <c r="BA8" t="str">
        <f t="shared" si="20"/>
        <v>--</v>
      </c>
      <c r="BB8" t="str">
        <f t="shared" si="21"/>
        <v>--</v>
      </c>
    </row>
    <row r="9" spans="1:54" ht="15">
      <c r="A9" s="6" t="str">
        <f>'16_4 kaavio'!J36</f>
        <v>W.O.</v>
      </c>
      <c r="B9" s="14">
        <f>VLOOKUP(A9,Ilmoittautuminen!$B$3:$C$18,2,FALSE)</f>
        <v>0</v>
      </c>
      <c r="C9" s="48">
        <f>'16_4 kaavio'!L36</f>
        <v>0</v>
      </c>
      <c r="D9" s="12" t="s">
        <v>26</v>
      </c>
      <c r="E9" s="48">
        <f>'16_4 kaavio'!L38</f>
        <v>0</v>
      </c>
      <c r="F9" s="6" t="str">
        <f>'16_4 kaavio'!J38</f>
        <v>W.O.</v>
      </c>
      <c r="G9" s="14">
        <f>VLOOKUP(F9,Ilmoittautuminen!$B$3:$C$18,2,FALSE)</f>
        <v>0</v>
      </c>
      <c r="H9" s="32">
        <f t="shared" si="2"/>
        <v>0</v>
      </c>
      <c r="I9" s="40" t="s">
        <v>26</v>
      </c>
      <c r="J9" s="34">
        <f t="shared" si="3"/>
        <v>0</v>
      </c>
      <c r="K9" s="41"/>
      <c r="L9" s="42">
        <f t="shared" si="4"/>
      </c>
      <c r="M9" s="43"/>
      <c r="N9" s="44"/>
      <c r="O9" s="42">
        <f t="shared" si="5"/>
      </c>
      <c r="P9" s="43"/>
      <c r="Q9" s="44"/>
      <c r="R9" s="42">
        <f t="shared" si="6"/>
      </c>
      <c r="S9" s="43"/>
      <c r="T9" s="44"/>
      <c r="U9" s="42">
        <f t="shared" si="7"/>
      </c>
      <c r="V9" s="43"/>
      <c r="W9" s="44"/>
      <c r="X9" s="42">
        <f t="shared" si="8"/>
      </c>
      <c r="Y9" s="43"/>
      <c r="Z9" s="44"/>
      <c r="AA9" s="42">
        <f t="shared" si="9"/>
      </c>
      <c r="AB9" s="43"/>
      <c r="AC9" s="44"/>
      <c r="AD9" s="42">
        <f t="shared" si="10"/>
      </c>
      <c r="AE9" s="43"/>
      <c r="AF9" s="44"/>
      <c r="AG9" s="42">
        <f t="shared" si="11"/>
      </c>
      <c r="AH9" s="43"/>
      <c r="AI9" s="44"/>
      <c r="AJ9" s="42">
        <f t="shared" si="12"/>
      </c>
      <c r="AK9" s="43"/>
      <c r="AL9" s="44"/>
      <c r="AM9" s="42">
        <f t="shared" si="13"/>
      </c>
      <c r="AN9" s="43"/>
      <c r="AO9" s="42"/>
      <c r="AP9" s="18">
        <f t="shared" si="14"/>
      </c>
      <c r="AQ9" s="42"/>
      <c r="AR9" s="44">
        <f t="shared" si="0"/>
        <v>0</v>
      </c>
      <c r="AS9" s="42" t="str">
        <f t="shared" si="1"/>
        <v>-</v>
      </c>
      <c r="AT9" s="43">
        <f t="shared" si="15"/>
        <v>0</v>
      </c>
      <c r="AU9" s="19"/>
      <c r="AV9" t="str">
        <f t="shared" si="16"/>
        <v>--W.O.-- 0 - --W.O.-- 0  (0-0)         </v>
      </c>
      <c r="AW9" t="str">
        <f t="shared" si="17"/>
        <v>--W.O.-- 0 - --W.O.-- 0  (0-0)                     ; 0-0</v>
      </c>
      <c r="AY9" t="str">
        <f t="shared" si="18"/>
        <v>--</v>
      </c>
      <c r="AZ9" t="str">
        <f t="shared" si="19"/>
        <v>--</v>
      </c>
      <c r="BA9" t="str">
        <f t="shared" si="20"/>
        <v>--</v>
      </c>
      <c r="BB9" t="str">
        <f t="shared" si="21"/>
        <v>--</v>
      </c>
    </row>
    <row r="10" spans="1:54" ht="15">
      <c r="A10" s="6" t="str">
        <f>'16_4 kaavio'!J42</f>
        <v>W.O.</v>
      </c>
      <c r="B10" s="14">
        <f>VLOOKUP(A10,Ilmoittautuminen!$B$3:$C$18,2,FALSE)</f>
        <v>0</v>
      </c>
      <c r="C10" s="48">
        <f>'16_4 kaavio'!L42</f>
        <v>0</v>
      </c>
      <c r="D10" s="12" t="s">
        <v>26</v>
      </c>
      <c r="E10" s="48">
        <f>'16_4 kaavio'!L44</f>
        <v>0</v>
      </c>
      <c r="F10" s="6" t="str">
        <f>'16_4 kaavio'!J44</f>
        <v>W.O.</v>
      </c>
      <c r="G10" s="14">
        <f>VLOOKUP(F10,Ilmoittautuminen!$B$3:$C$18,2,FALSE)</f>
        <v>0</v>
      </c>
      <c r="H10" s="32">
        <f t="shared" si="2"/>
        <v>0</v>
      </c>
      <c r="I10" s="40" t="s">
        <v>26</v>
      </c>
      <c r="J10" s="34">
        <f t="shared" si="3"/>
        <v>0</v>
      </c>
      <c r="K10" s="41"/>
      <c r="L10" s="42">
        <f t="shared" si="4"/>
      </c>
      <c r="M10" s="43"/>
      <c r="N10" s="44"/>
      <c r="O10" s="42">
        <f t="shared" si="5"/>
      </c>
      <c r="P10" s="43"/>
      <c r="Q10" s="44"/>
      <c r="R10" s="42">
        <f t="shared" si="6"/>
      </c>
      <c r="S10" s="43"/>
      <c r="T10" s="44"/>
      <c r="U10" s="42">
        <f t="shared" si="7"/>
      </c>
      <c r="V10" s="43"/>
      <c r="W10" s="44"/>
      <c r="X10" s="42">
        <f t="shared" si="8"/>
      </c>
      <c r="Y10" s="43"/>
      <c r="Z10" s="44"/>
      <c r="AA10" s="42">
        <f t="shared" si="9"/>
      </c>
      <c r="AB10" s="43"/>
      <c r="AC10" s="44"/>
      <c r="AD10" s="42">
        <f t="shared" si="10"/>
      </c>
      <c r="AE10" s="43"/>
      <c r="AF10" s="44"/>
      <c r="AG10" s="42">
        <f t="shared" si="11"/>
      </c>
      <c r="AH10" s="43"/>
      <c r="AI10" s="44"/>
      <c r="AJ10" s="42">
        <f t="shared" si="12"/>
      </c>
      <c r="AK10" s="43"/>
      <c r="AL10" s="44"/>
      <c r="AM10" s="42">
        <f t="shared" si="13"/>
      </c>
      <c r="AN10" s="43"/>
      <c r="AO10" s="42"/>
      <c r="AP10" s="18">
        <f t="shared" si="14"/>
      </c>
      <c r="AQ10" s="42"/>
      <c r="AR10" s="44">
        <f t="shared" si="0"/>
        <v>0</v>
      </c>
      <c r="AS10" s="42" t="str">
        <f t="shared" si="1"/>
        <v>-</v>
      </c>
      <c r="AT10" s="43">
        <f t="shared" si="15"/>
        <v>0</v>
      </c>
      <c r="AU10" s="19"/>
      <c r="AV10" t="str">
        <f t="shared" si="16"/>
        <v>--W.O.-- 0 - --W.O.-- 0  (0-0)         </v>
      </c>
      <c r="AW10" t="str">
        <f t="shared" si="17"/>
        <v>--W.O.-- 0 - --W.O.-- 0  (0-0)                     ; 0-0</v>
      </c>
      <c r="AY10" t="str">
        <f t="shared" si="18"/>
        <v>--</v>
      </c>
      <c r="AZ10" t="str">
        <f t="shared" si="19"/>
        <v>--</v>
      </c>
      <c r="BA10" t="str">
        <f t="shared" si="20"/>
        <v>--</v>
      </c>
      <c r="BB10" t="str">
        <f t="shared" si="21"/>
        <v>--</v>
      </c>
    </row>
    <row r="11" spans="1:54" ht="15">
      <c r="A11" s="6" t="str">
        <f>'16_4 kaavio'!J48</f>
        <v>W.O.</v>
      </c>
      <c r="B11" s="14">
        <f>VLOOKUP(A11,Ilmoittautuminen!$B$3:$C$18,2,FALSE)</f>
        <v>0</v>
      </c>
      <c r="C11" s="48">
        <f>'16_4 kaavio'!L48</f>
        <v>0</v>
      </c>
      <c r="D11" s="12" t="s">
        <v>26</v>
      </c>
      <c r="E11" s="48">
        <f>'16_4 kaavio'!L50</f>
        <v>0</v>
      </c>
      <c r="F11" s="6" t="str">
        <f>'16_4 kaavio'!J50</f>
        <v>W.O.</v>
      </c>
      <c r="G11" s="14">
        <f>VLOOKUP(F11,Ilmoittautuminen!$B$3:$C$18,2,FALSE)</f>
        <v>0</v>
      </c>
      <c r="H11" s="32">
        <f t="shared" si="2"/>
        <v>0</v>
      </c>
      <c r="I11" s="40" t="s">
        <v>26</v>
      </c>
      <c r="J11" s="34">
        <f t="shared" si="3"/>
        <v>0</v>
      </c>
      <c r="K11" s="41"/>
      <c r="L11" s="42">
        <f t="shared" si="4"/>
      </c>
      <c r="M11" s="43"/>
      <c r="N11" s="44"/>
      <c r="O11" s="42">
        <f t="shared" si="5"/>
      </c>
      <c r="P11" s="43"/>
      <c r="Q11" s="44"/>
      <c r="R11" s="42">
        <f t="shared" si="6"/>
      </c>
      <c r="S11" s="43"/>
      <c r="T11" s="44"/>
      <c r="U11" s="42">
        <f t="shared" si="7"/>
      </c>
      <c r="V11" s="43"/>
      <c r="W11" s="44"/>
      <c r="X11" s="42">
        <f t="shared" si="8"/>
      </c>
      <c r="Y11" s="43"/>
      <c r="Z11" s="44"/>
      <c r="AA11" s="42">
        <f t="shared" si="9"/>
      </c>
      <c r="AB11" s="43"/>
      <c r="AC11" s="44"/>
      <c r="AD11" s="42">
        <f t="shared" si="10"/>
      </c>
      <c r="AE11" s="43"/>
      <c r="AF11" s="44"/>
      <c r="AG11" s="42">
        <f t="shared" si="11"/>
      </c>
      <c r="AH11" s="43"/>
      <c r="AI11" s="44"/>
      <c r="AJ11" s="42">
        <f t="shared" si="12"/>
      </c>
      <c r="AK11" s="43"/>
      <c r="AL11" s="44"/>
      <c r="AM11" s="42">
        <f t="shared" si="13"/>
      </c>
      <c r="AN11" s="43"/>
      <c r="AO11" s="42"/>
      <c r="AP11" s="18">
        <f t="shared" si="14"/>
      </c>
      <c r="AQ11" s="42"/>
      <c r="AR11" s="44">
        <f t="shared" si="0"/>
        <v>0</v>
      </c>
      <c r="AS11" s="42" t="str">
        <f t="shared" si="1"/>
        <v>-</v>
      </c>
      <c r="AT11" s="43">
        <f t="shared" si="15"/>
        <v>0</v>
      </c>
      <c r="AU11" s="19"/>
      <c r="AV11" t="str">
        <f t="shared" si="16"/>
        <v>--W.O.-- 0 - --W.O.-- 0  (0-0)         </v>
      </c>
      <c r="AW11" t="str">
        <f t="shared" si="17"/>
        <v>--W.O.-- 0 - --W.O.-- 0  (0-0)                     ; 0-0</v>
      </c>
      <c r="AY11" t="str">
        <f t="shared" si="18"/>
        <v>--</v>
      </c>
      <c r="AZ11" t="str">
        <f t="shared" si="19"/>
        <v>--</v>
      </c>
      <c r="BA11" t="str">
        <f t="shared" si="20"/>
        <v>--</v>
      </c>
      <c r="BB11" t="str">
        <f t="shared" si="21"/>
        <v>--</v>
      </c>
    </row>
    <row r="12" spans="1:54" ht="15">
      <c r="A12" s="6" t="str">
        <f>'16_4 kaavio'!J54</f>
        <v>W.O.</v>
      </c>
      <c r="B12" s="14">
        <f>VLOOKUP(A12,Ilmoittautuminen!$B$3:$C$18,2,FALSE)</f>
        <v>0</v>
      </c>
      <c r="C12" s="48">
        <f>'16_4 kaavio'!L54</f>
        <v>0</v>
      </c>
      <c r="D12" s="12" t="s">
        <v>26</v>
      </c>
      <c r="E12" s="48">
        <f>'16_4 kaavio'!L56</f>
        <v>0</v>
      </c>
      <c r="F12" s="6" t="str">
        <f>'16_4 kaavio'!J56</f>
        <v>W.O.</v>
      </c>
      <c r="G12" s="14">
        <f>VLOOKUP(F12,Ilmoittautuminen!$B$3:$C$18,2,FALSE)</f>
        <v>0</v>
      </c>
      <c r="H12" s="32">
        <f t="shared" si="2"/>
        <v>0</v>
      </c>
      <c r="I12" s="40" t="s">
        <v>26</v>
      </c>
      <c r="J12" s="34">
        <f t="shared" si="3"/>
        <v>0</v>
      </c>
      <c r="K12" s="41"/>
      <c r="L12" s="42">
        <f t="shared" si="4"/>
      </c>
      <c r="M12" s="43"/>
      <c r="N12" s="44"/>
      <c r="O12" s="42">
        <f t="shared" si="5"/>
      </c>
      <c r="P12" s="43"/>
      <c r="Q12" s="44"/>
      <c r="R12" s="42">
        <f t="shared" si="6"/>
      </c>
      <c r="S12" s="43"/>
      <c r="T12" s="44"/>
      <c r="U12" s="42">
        <f t="shared" si="7"/>
      </c>
      <c r="V12" s="43"/>
      <c r="W12" s="44"/>
      <c r="X12" s="42">
        <f t="shared" si="8"/>
      </c>
      <c r="Y12" s="43"/>
      <c r="Z12" s="44"/>
      <c r="AA12" s="42">
        <f t="shared" si="9"/>
      </c>
      <c r="AB12" s="43"/>
      <c r="AC12" s="44"/>
      <c r="AD12" s="42">
        <f t="shared" si="10"/>
      </c>
      <c r="AE12" s="43"/>
      <c r="AF12" s="44"/>
      <c r="AG12" s="42">
        <f t="shared" si="11"/>
      </c>
      <c r="AH12" s="43"/>
      <c r="AI12" s="44"/>
      <c r="AJ12" s="42">
        <f t="shared" si="12"/>
      </c>
      <c r="AK12" s="43"/>
      <c r="AL12" s="44"/>
      <c r="AM12" s="42">
        <f t="shared" si="13"/>
      </c>
      <c r="AN12" s="43"/>
      <c r="AO12" s="42"/>
      <c r="AP12" s="18">
        <f t="shared" si="14"/>
      </c>
      <c r="AQ12" s="42"/>
      <c r="AR12" s="44">
        <f t="shared" si="0"/>
        <v>0</v>
      </c>
      <c r="AS12" s="42" t="str">
        <f t="shared" si="1"/>
        <v>-</v>
      </c>
      <c r="AT12" s="43">
        <f t="shared" si="15"/>
        <v>0</v>
      </c>
      <c r="AU12" s="19"/>
      <c r="AV12" t="str">
        <f t="shared" si="16"/>
        <v>--W.O.-- 0 - --W.O.-- 0  (0-0)         </v>
      </c>
      <c r="AW12" t="str">
        <f t="shared" si="17"/>
        <v>--W.O.-- 0 - --W.O.-- 0  (0-0)                     ; 0-0</v>
      </c>
      <c r="AY12" t="str">
        <f t="shared" si="18"/>
        <v>--</v>
      </c>
      <c r="AZ12" t="str">
        <f t="shared" si="19"/>
        <v>--</v>
      </c>
      <c r="BA12" t="str">
        <f t="shared" si="20"/>
        <v>--</v>
      </c>
      <c r="BB12" t="str">
        <f t="shared" si="21"/>
        <v>--</v>
      </c>
    </row>
    <row r="13" spans="1:48" ht="15.75" thickBot="1">
      <c r="A13" s="6"/>
      <c r="B13" s="6"/>
      <c r="C13" s="48"/>
      <c r="D13" s="11"/>
      <c r="E13" s="4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52" ht="16.5" thickBot="1">
      <c r="A14" s="7" t="s">
        <v>28</v>
      </c>
      <c r="B14" s="6"/>
      <c r="C14" s="48"/>
      <c r="D14" s="11"/>
      <c r="E14" s="48"/>
      <c r="F14" s="6"/>
      <c r="G14" s="6"/>
      <c r="H14" s="29" t="s">
        <v>23</v>
      </c>
      <c r="I14" s="30"/>
      <c r="J14" s="31"/>
      <c r="K14" s="165" t="s">
        <v>39</v>
      </c>
      <c r="L14" s="166"/>
      <c r="M14" s="166"/>
      <c r="N14" s="166" t="s">
        <v>40</v>
      </c>
      <c r="O14" s="166"/>
      <c r="P14" s="166"/>
      <c r="Q14" s="166" t="s">
        <v>41</v>
      </c>
      <c r="R14" s="166"/>
      <c r="S14" s="166"/>
      <c r="T14" s="166" t="s">
        <v>42</v>
      </c>
      <c r="U14" s="166"/>
      <c r="V14" s="166"/>
      <c r="W14" s="166" t="s">
        <v>43</v>
      </c>
      <c r="X14" s="166"/>
      <c r="Y14" s="166"/>
      <c r="Z14" s="166" t="s">
        <v>44</v>
      </c>
      <c r="AA14" s="166"/>
      <c r="AB14" s="166"/>
      <c r="AC14" s="166" t="s">
        <v>45</v>
      </c>
      <c r="AD14" s="166"/>
      <c r="AE14" s="166"/>
      <c r="AF14" s="166" t="s">
        <v>46</v>
      </c>
      <c r="AG14" s="166"/>
      <c r="AH14" s="166"/>
      <c r="AI14" s="166" t="s">
        <v>47</v>
      </c>
      <c r="AJ14" s="166"/>
      <c r="AK14" s="166"/>
      <c r="AL14" s="166" t="s">
        <v>48</v>
      </c>
      <c r="AM14" s="166"/>
      <c r="AN14" s="166"/>
      <c r="AO14" s="166" t="s">
        <v>49</v>
      </c>
      <c r="AP14" s="166"/>
      <c r="AQ14" s="166"/>
      <c r="AR14" s="166" t="s">
        <v>53</v>
      </c>
      <c r="AS14" s="166"/>
      <c r="AT14" s="166"/>
      <c r="AU14" s="6"/>
      <c r="AV14" t="str">
        <f>A14</f>
        <v>Voittajien puoli 2. Kierros</v>
      </c>
      <c r="AW14" t="str">
        <f>AY14&amp;A14&amp;AZ14</f>
        <v>[b]Voittajien puoli 2. Kierros[/b]</v>
      </c>
      <c r="AY14" t="s">
        <v>104</v>
      </c>
      <c r="AZ14" t="s">
        <v>105</v>
      </c>
    </row>
    <row r="15" spans="1:54" ht="15">
      <c r="A15" s="6">
        <f>'16_4 kaavio'!M11</f>
      </c>
      <c r="B15" s="14" t="e">
        <f>VLOOKUP(A15,Ilmoittautuminen!$B$3:$C$18,2,FALSE)</f>
        <v>#N/A</v>
      </c>
      <c r="C15" s="48">
        <f>'16_4 kaavio'!N11</f>
        <v>0</v>
      </c>
      <c r="D15" s="12" t="s">
        <v>26</v>
      </c>
      <c r="E15" s="48">
        <f>'16_4 kaavio'!N13</f>
        <v>0</v>
      </c>
      <c r="F15" s="6">
        <f>'16_4 kaavio'!M13</f>
      </c>
      <c r="G15" s="14" t="e">
        <f>VLOOKUP(F15,Ilmoittautuminen!$B$3:$C$18,2,FALSE)</f>
        <v>#N/A</v>
      </c>
      <c r="H15" s="32">
        <f>IF(OR(A15="W.O.",F15="W.O."),0,COUNTIF(K15,8)+COUNTIF(N15,8)+COUNTIF(Q15,8)+COUNTIF(T15,8)+COUNTIF(W15,8)+COUNTIF(Z15,8)+COUNTIF(AC15,8)+COUNTIF(AF15,8)+COUNTIF(AI15,8)+COUNTIF(AL15,8)+COUNTIF(AO15,8))</f>
        <v>0</v>
      </c>
      <c r="I15" s="33" t="s">
        <v>26</v>
      </c>
      <c r="J15" s="34">
        <f>IF(OR(A15="W.O.",F15="W.O."),0,COUNTIF(M15,8)+COUNTIF(P15,8)+COUNTIF(S15,8)+COUNTIF(V15,8)+COUNTIF(Y15,8)+COUNTIF(AB15,8)+COUNTIF(AE15,8)+COUNTIF(AH15,8)+COUNTIF(AK15,8)+COUNTIF(AN15,8)+COUNTIF(AQ15,8))</f>
        <v>0</v>
      </c>
      <c r="K15" s="35"/>
      <c r="L15" s="36">
        <f>IF(ISNUMBER(K15),"-","")</f>
      </c>
      <c r="M15" s="37"/>
      <c r="N15" s="38"/>
      <c r="O15" s="36">
        <f>IF(ISNUMBER(N15),"-","")</f>
      </c>
      <c r="P15" s="37"/>
      <c r="Q15" s="38"/>
      <c r="R15" s="36">
        <f>IF(ISNUMBER(Q15),"-","")</f>
      </c>
      <c r="S15" s="37"/>
      <c r="T15" s="38"/>
      <c r="U15" s="36">
        <f>IF(ISNUMBER(T15),"-","")</f>
      </c>
      <c r="V15" s="37"/>
      <c r="W15" s="38"/>
      <c r="X15" s="36">
        <f>IF(ISNUMBER(W15),"-","")</f>
      </c>
      <c r="Y15" s="37"/>
      <c r="Z15" s="38"/>
      <c r="AA15" s="36">
        <f>IF(ISNUMBER(Z15),"-","")</f>
      </c>
      <c r="AB15" s="37"/>
      <c r="AC15" s="38"/>
      <c r="AD15" s="36">
        <f>IF(ISNUMBER(AC15),"-","")</f>
      </c>
      <c r="AE15" s="37"/>
      <c r="AF15" s="38"/>
      <c r="AG15" s="36">
        <f>IF(ISNUMBER(AF15),"-","")</f>
      </c>
      <c r="AH15" s="37"/>
      <c r="AI15" s="38"/>
      <c r="AJ15" s="36">
        <f>IF(ISNUMBER(AI15),"-","")</f>
      </c>
      <c r="AK15" s="37"/>
      <c r="AL15" s="38"/>
      <c r="AM15" s="36">
        <f>IF(ISNUMBER(AL15),"-","")</f>
      </c>
      <c r="AN15" s="37"/>
      <c r="AO15" s="36"/>
      <c r="AP15" s="39">
        <f>IF(ISNUMBER(AO15),"-","")</f>
      </c>
      <c r="AQ15" s="36"/>
      <c r="AR15" s="38">
        <f>SUM(K15+N15+Q15+T15+W15+Z15+AC15+AF15+AI15+AL15+AO15)</f>
        <v>0</v>
      </c>
      <c r="AS15" s="36" t="str">
        <f>IF(ISNUMBER(AR15),"-","")</f>
        <v>-</v>
      </c>
      <c r="AT15" s="37">
        <f>(M15+P15+S15+V15+Y15+AB15+AE15+AH15+AK15+AN15+AQ15)</f>
        <v>0</v>
      </c>
      <c r="AU15" s="6"/>
      <c r="AV15" t="e">
        <f>CONCATENATE(AY15,A15,AZ15," ",B15," - ",BA15,F15,BB15," ",G15,"  (",C15,"-",E15,") ",K15,M15,"  ",N15,P15,"  ",Q15,S15,"  ",T15,V15,"  ")</f>
        <v>#N/A</v>
      </c>
      <c r="AW15" t="e">
        <f>CONCATENATE(AV15,W15,Y15,"  ",Z15,AB15,"  ",AC15,AE15,"  ",AF15,AH15,"  ",AI15,AJ15,AK15,"  ",AL15,AN15,"  ",AO15,AQ15,"; ",AR15,"-",AT15)</f>
        <v>#N/A</v>
      </c>
      <c r="AY15" t="str">
        <f>IF(AND($C15=0,$E15=0),"--",IF(C15&gt;E15,"[b]",""))</f>
        <v>--</v>
      </c>
      <c r="AZ15" t="str">
        <f>IF(AND($C15=0,$E15=0),"--",IF(C15&gt;E15,"[/b]",""))</f>
        <v>--</v>
      </c>
      <c r="BA15" t="str">
        <f>IF(AND($C15=0,$E15=0),"--",IF(C15&lt;E15,"[b]",""))</f>
        <v>--</v>
      </c>
      <c r="BB15" t="str">
        <f>IF(AND($C15=0,$E15=0),"--",IF(C15&lt;E15,"[/b]",""))</f>
        <v>--</v>
      </c>
    </row>
    <row r="16" spans="1:54" ht="15">
      <c r="A16" s="6">
        <f>'16_4 kaavio'!M23</f>
      </c>
      <c r="B16" s="14" t="e">
        <f>VLOOKUP(A16,Ilmoittautuminen!$B$3:$C$18,2,FALSE)</f>
        <v>#N/A</v>
      </c>
      <c r="C16" s="48">
        <f>'16_4 kaavio'!N23</f>
        <v>0</v>
      </c>
      <c r="D16" s="12" t="s">
        <v>26</v>
      </c>
      <c r="E16" s="48">
        <f>'16_4 kaavio'!N25</f>
        <v>0</v>
      </c>
      <c r="F16" s="6">
        <f>'16_4 kaavio'!M25</f>
      </c>
      <c r="G16" s="14" t="e">
        <f>VLOOKUP(F16,Ilmoittautuminen!$B$3:$C$18,2,FALSE)</f>
        <v>#N/A</v>
      </c>
      <c r="H16" s="32">
        <f>IF(OR(A16="W.O.",F16="W.O."),0,COUNTIF(K16,8)+COUNTIF(N16,8)+COUNTIF(Q16,8)+COUNTIF(T16,8)+COUNTIF(W16,8)+COUNTIF(Z16,8)+COUNTIF(AC16,8)+COUNTIF(AF16,8)+COUNTIF(AI16,8)+COUNTIF(AL16,8)+COUNTIF(AO16,8))</f>
        <v>0</v>
      </c>
      <c r="I16" s="33" t="s">
        <v>26</v>
      </c>
      <c r="J16" s="34">
        <f>IF(OR(A16="W.O.",F16="W.O."),0,COUNTIF(M16,8)+COUNTIF(P16,8)+COUNTIF(S16,8)+COUNTIF(V16,8)+COUNTIF(Y16,8)+COUNTIF(AB16,8)+COUNTIF(AE16,8)+COUNTIF(AH16,8)+COUNTIF(AK16,8)+COUNTIF(AN16,8)+COUNTIF(AQ16,8))</f>
        <v>0</v>
      </c>
      <c r="K16" s="41"/>
      <c r="L16" s="42">
        <f>IF(ISNUMBER(K16),"-","")</f>
      </c>
      <c r="M16" s="43"/>
      <c r="N16" s="44"/>
      <c r="O16" s="42">
        <f>IF(ISNUMBER(N16),"-","")</f>
      </c>
      <c r="P16" s="43"/>
      <c r="Q16" s="44"/>
      <c r="R16" s="42">
        <f>IF(ISNUMBER(Q16),"-","")</f>
      </c>
      <c r="S16" s="43"/>
      <c r="T16" s="44"/>
      <c r="U16" s="42">
        <f>IF(ISNUMBER(T16),"-","")</f>
      </c>
      <c r="V16" s="43"/>
      <c r="W16" s="44"/>
      <c r="X16" s="42">
        <f>IF(ISNUMBER(W16),"-","")</f>
      </c>
      <c r="Y16" s="43"/>
      <c r="Z16" s="44"/>
      <c r="AA16" s="42">
        <f>IF(ISNUMBER(Z16),"-","")</f>
      </c>
      <c r="AB16" s="43"/>
      <c r="AC16" s="44"/>
      <c r="AD16" s="42">
        <f>IF(ISNUMBER(AC16),"-","")</f>
      </c>
      <c r="AE16" s="43"/>
      <c r="AF16" s="44"/>
      <c r="AG16" s="42">
        <f>IF(ISNUMBER(AF16),"-","")</f>
      </c>
      <c r="AH16" s="43"/>
      <c r="AI16" s="44"/>
      <c r="AJ16" s="42">
        <f>IF(ISNUMBER(AI16),"-","")</f>
      </c>
      <c r="AK16" s="43"/>
      <c r="AL16" s="44"/>
      <c r="AM16" s="42">
        <f>IF(ISNUMBER(AL16),"-","")</f>
      </c>
      <c r="AN16" s="43"/>
      <c r="AO16" s="42"/>
      <c r="AP16" s="18">
        <f>IF(ISNUMBER(AO16),"-","")</f>
      </c>
      <c r="AQ16" s="42"/>
      <c r="AR16" s="44">
        <f>SUM(K16+N16+Q16+T16+W16+Z16+AC16+AF16+AI16+AL16+AO16)</f>
        <v>0</v>
      </c>
      <c r="AS16" s="42" t="str">
        <f>IF(ISNUMBER(AR16),"-","")</f>
        <v>-</v>
      </c>
      <c r="AT16" s="43">
        <f>SUM(M16+P16+S16+V16+Y16+AB16+AE16+AH16+AK16+AN16+AQ16)</f>
        <v>0</v>
      </c>
      <c r="AU16" s="6"/>
      <c r="AV16" t="e">
        <f>CONCATENATE(AY16,A16,AZ16," ",B16," - ",BA16,F16,BB16," ",G16,"  (",C16,"-",E16,") ",K16,M16,"  ",N16,P16,"  ",Q16,S16,"  ",T16,V16,"  ")</f>
        <v>#N/A</v>
      </c>
      <c r="AW16" t="e">
        <f>CONCATENATE(AV16,W16,Y16,"  ",Z16,AB16,"  ",AC16,AE16,"  ",AF16,AH16,"  ",AI16,AJ16,AK16,"  ",AL16,AN16,"  ",AO16,AQ16,"; ",AR16,"-",AT16)</f>
        <v>#N/A</v>
      </c>
      <c r="AY16" t="str">
        <f>IF(AND($C16=0,$E16=0),"--",IF(C16&gt;E16,"[b]",""))</f>
        <v>--</v>
      </c>
      <c r="AZ16" t="str">
        <f>IF(AND($C16=0,$E16=0),"--",IF(C16&gt;E16,"[/b]",""))</f>
        <v>--</v>
      </c>
      <c r="BA16" t="str">
        <f>IF(AND($C16=0,$E16=0),"--",IF(C16&lt;E16,"[b]",""))</f>
        <v>--</v>
      </c>
      <c r="BB16" t="str">
        <f>IF(AND($C16=0,$E16=0),"--",IF(C16&lt;E16,"[/b]",""))</f>
        <v>--</v>
      </c>
    </row>
    <row r="17" spans="1:54" ht="15">
      <c r="A17" s="6">
        <f>'16_4 kaavio'!M39</f>
      </c>
      <c r="B17" s="14" t="e">
        <f>VLOOKUP(A17,Ilmoittautuminen!$B$3:$C$18,2,FALSE)</f>
        <v>#N/A</v>
      </c>
      <c r="C17" s="48">
        <f>'16_4 kaavio'!N39</f>
        <v>0</v>
      </c>
      <c r="D17" s="12" t="s">
        <v>26</v>
      </c>
      <c r="E17" s="48">
        <f>'16_4 kaavio'!N41</f>
        <v>0</v>
      </c>
      <c r="F17" s="6">
        <f>'16_4 kaavio'!M41</f>
      </c>
      <c r="G17" s="14" t="e">
        <f>VLOOKUP(F17,Ilmoittautuminen!$B$3:$C$18,2,FALSE)</f>
        <v>#N/A</v>
      </c>
      <c r="H17" s="32">
        <f>IF(OR(A17="W.O.",F17="W.O."),0,COUNTIF(K17,8)+COUNTIF(N17,8)+COUNTIF(Q17,8)+COUNTIF(T17,8)+COUNTIF(W17,8)+COUNTIF(Z17,8)+COUNTIF(AC17,8)+COUNTIF(AF17,8)+COUNTIF(AI17,8)+COUNTIF(AL17,8)+COUNTIF(AO17,8))</f>
        <v>0</v>
      </c>
      <c r="I17" s="33" t="s">
        <v>26</v>
      </c>
      <c r="J17" s="34">
        <f>IF(OR(A17="W.O.",F17="W.O."),0,COUNTIF(M17,8)+COUNTIF(P17,8)+COUNTIF(S17,8)+COUNTIF(V17,8)+COUNTIF(Y17,8)+COUNTIF(AB17,8)+COUNTIF(AE17,8)+COUNTIF(AH17,8)+COUNTIF(AK17,8)+COUNTIF(AN17,8)+COUNTIF(AQ17,8))</f>
        <v>0</v>
      </c>
      <c r="K17" s="41"/>
      <c r="L17" s="42">
        <f>IF(ISNUMBER(K17),"-","")</f>
      </c>
      <c r="M17" s="43"/>
      <c r="N17" s="44"/>
      <c r="O17" s="42">
        <f>IF(ISNUMBER(N17),"-","")</f>
      </c>
      <c r="P17" s="43"/>
      <c r="Q17" s="44"/>
      <c r="R17" s="42">
        <f>IF(ISNUMBER(Q17),"-","")</f>
      </c>
      <c r="S17" s="43"/>
      <c r="T17" s="44"/>
      <c r="U17" s="42">
        <f>IF(ISNUMBER(T17),"-","")</f>
      </c>
      <c r="V17" s="43"/>
      <c r="W17" s="44"/>
      <c r="X17" s="42">
        <f>IF(ISNUMBER(W17),"-","")</f>
      </c>
      <c r="Y17" s="43"/>
      <c r="Z17" s="44"/>
      <c r="AA17" s="42">
        <f>IF(ISNUMBER(Z17),"-","")</f>
      </c>
      <c r="AB17" s="43"/>
      <c r="AC17" s="44"/>
      <c r="AD17" s="42">
        <f>IF(ISNUMBER(AC17),"-","")</f>
      </c>
      <c r="AE17" s="43"/>
      <c r="AF17" s="44"/>
      <c r="AG17" s="42">
        <f>IF(ISNUMBER(AF17),"-","")</f>
      </c>
      <c r="AH17" s="43"/>
      <c r="AI17" s="44"/>
      <c r="AJ17" s="42">
        <f>IF(ISNUMBER(AI17),"-","")</f>
      </c>
      <c r="AK17" s="43"/>
      <c r="AL17" s="44"/>
      <c r="AM17" s="42">
        <f>IF(ISNUMBER(AL17),"-","")</f>
      </c>
      <c r="AN17" s="43"/>
      <c r="AO17" s="42"/>
      <c r="AP17" s="18">
        <f>IF(ISNUMBER(AO17),"-","")</f>
      </c>
      <c r="AQ17" s="42"/>
      <c r="AR17" s="44">
        <f>SUM(K17+N17+Q17+T17+W17+Z17+AC17+AF17+AI17+AL17+AO17)</f>
        <v>0</v>
      </c>
      <c r="AS17" s="42" t="str">
        <f>IF(ISNUMBER(AR17),"-","")</f>
        <v>-</v>
      </c>
      <c r="AT17" s="43">
        <f>SUM(M17+P17+S17+V17+Y17+AB17+AE17+AH17+AK17+AN17+AQ17)</f>
        <v>0</v>
      </c>
      <c r="AU17" s="6"/>
      <c r="AV17" t="e">
        <f>CONCATENATE(AY17,A17,AZ17," ",B17," - ",BA17,F17,BB17," ",G17,"  (",C17,"-",E17,") ",K17,M17,"  ",N17,P17,"  ",Q17,S17,"  ",T17,V17,"  ")</f>
        <v>#N/A</v>
      </c>
      <c r="AW17" t="e">
        <f>CONCATENATE(AV17,W17,Y17,"  ",Z17,AB17,"  ",AC17,AE17,"  ",AF17,AH17,"  ",AI17,AJ17,AK17,"  ",AL17,AN17,"  ",AO17,AQ17,"; ",AR17,"-",AT17)</f>
        <v>#N/A</v>
      </c>
      <c r="AY17" t="str">
        <f>IF(AND($C17=0,$E17=0),"--",IF(C17&gt;E17,"[b]",""))</f>
        <v>--</v>
      </c>
      <c r="AZ17" t="str">
        <f>IF(AND($C17=0,$E17=0),"--",IF(C17&gt;E17,"[/b]",""))</f>
        <v>--</v>
      </c>
      <c r="BA17" t="str">
        <f>IF(AND($C17=0,$E17=0),"--",IF(C17&lt;E17,"[b]",""))</f>
        <v>--</v>
      </c>
      <c r="BB17" t="str">
        <f>IF(AND($C17=0,$E17=0),"--",IF(C17&lt;E17,"[/b]",""))</f>
        <v>--</v>
      </c>
    </row>
    <row r="18" spans="1:54" ht="15">
      <c r="A18" s="6">
        <f>'16_4 kaavio'!M51</f>
      </c>
      <c r="B18" s="14" t="e">
        <f>VLOOKUP(A18,Ilmoittautuminen!$B$3:$C$18,2,FALSE)</f>
        <v>#N/A</v>
      </c>
      <c r="C18" s="48">
        <f>'16_4 kaavio'!N51</f>
        <v>0</v>
      </c>
      <c r="D18" s="12" t="s">
        <v>26</v>
      </c>
      <c r="E18" s="48">
        <f>'16_4 kaavio'!N53</f>
        <v>0</v>
      </c>
      <c r="F18" s="6">
        <f>'16_4 kaavio'!M53</f>
      </c>
      <c r="G18" s="14" t="e">
        <f>VLOOKUP(F18,Ilmoittautuminen!$B$3:$C$18,2,FALSE)</f>
        <v>#N/A</v>
      </c>
      <c r="H18" s="32">
        <f>IF(OR(A18="W.O.",F18="W.O."),0,COUNTIF(K18,8)+COUNTIF(N18,8)+COUNTIF(Q18,8)+COUNTIF(T18,8)+COUNTIF(W18,8)+COUNTIF(Z18,8)+COUNTIF(AC18,8)+COUNTIF(AF18,8)+COUNTIF(AI18,8)+COUNTIF(AL18,8)+COUNTIF(AO18,8))</f>
        <v>0</v>
      </c>
      <c r="I18" s="33" t="s">
        <v>26</v>
      </c>
      <c r="J18" s="34">
        <f>IF(OR(A18="W.O.",F18="W.O."),0,COUNTIF(M18,8)+COUNTIF(P18,8)+COUNTIF(S18,8)+COUNTIF(V18,8)+COUNTIF(Y18,8)+COUNTIF(AB18,8)+COUNTIF(AE18,8)+COUNTIF(AH18,8)+COUNTIF(AK18,8)+COUNTIF(AN18,8)+COUNTIF(AQ18,8))</f>
        <v>0</v>
      </c>
      <c r="K18" s="41"/>
      <c r="L18" s="42">
        <f>IF(ISNUMBER(K18),"-","")</f>
      </c>
      <c r="M18" s="43"/>
      <c r="N18" s="44"/>
      <c r="O18" s="42">
        <f>IF(ISNUMBER(N18),"-","")</f>
      </c>
      <c r="P18" s="43"/>
      <c r="Q18" s="44"/>
      <c r="R18" s="42">
        <f>IF(ISNUMBER(Q18),"-","")</f>
      </c>
      <c r="S18" s="43"/>
      <c r="T18" s="44"/>
      <c r="U18" s="42">
        <f>IF(ISNUMBER(T18),"-","")</f>
      </c>
      <c r="V18" s="43"/>
      <c r="W18" s="44"/>
      <c r="X18" s="42">
        <f>IF(ISNUMBER(W18),"-","")</f>
      </c>
      <c r="Y18" s="43"/>
      <c r="Z18" s="44"/>
      <c r="AA18" s="42">
        <f>IF(ISNUMBER(Z18),"-","")</f>
      </c>
      <c r="AB18" s="43"/>
      <c r="AC18" s="44"/>
      <c r="AD18" s="42">
        <f>IF(ISNUMBER(AC18),"-","")</f>
      </c>
      <c r="AE18" s="43"/>
      <c r="AF18" s="44"/>
      <c r="AG18" s="42">
        <f>IF(ISNUMBER(AF18),"-","")</f>
      </c>
      <c r="AH18" s="43"/>
      <c r="AI18" s="44"/>
      <c r="AJ18" s="42">
        <f>IF(ISNUMBER(AI18),"-","")</f>
      </c>
      <c r="AK18" s="43"/>
      <c r="AL18" s="44"/>
      <c r="AM18" s="42">
        <f>IF(ISNUMBER(AL18),"-","")</f>
      </c>
      <c r="AN18" s="43"/>
      <c r="AO18" s="42"/>
      <c r="AP18" s="18">
        <f>IF(ISNUMBER(AO18),"-","")</f>
      </c>
      <c r="AQ18" s="42"/>
      <c r="AR18" s="44">
        <f>SUM(K18+N18+Q18+T18+W18+Z18+AC18+AF18+AI18+AL18+AO18)</f>
        <v>0</v>
      </c>
      <c r="AS18" s="42" t="str">
        <f>IF(ISNUMBER(AR18),"-","")</f>
        <v>-</v>
      </c>
      <c r="AT18" s="43">
        <f>SUM(M18+P18+S18+V18+Y18+AB18+AE18+AH18+AK18+AN18+AQ18)</f>
        <v>0</v>
      </c>
      <c r="AU18" s="6"/>
      <c r="AV18" t="e">
        <f>CONCATENATE(AY18,A18,AZ18," ",B18," - ",BA18,F18,BB18," ",G18,"  (",C18,"-",E18,") ",K18,M18,"  ",N18,P18,"  ",Q18,S18,"  ",T18,V18,"  ")</f>
        <v>#N/A</v>
      </c>
      <c r="AW18" t="e">
        <f>CONCATENATE(AV18,W18,Y18,"  ",Z18,AB18,"  ",AC18,AE18,"  ",AF18,AH18,"  ",AI18,AJ18,AK18,"  ",AL18,AN18,"  ",AO18,AQ18,"; ",AR18,"-",AT18)</f>
        <v>#N/A</v>
      </c>
      <c r="AY18" t="str">
        <f>IF(AND($C18=0,$E18=0),"--",IF(C18&gt;E18,"[b]",""))</f>
        <v>--</v>
      </c>
      <c r="AZ18" t="str">
        <f>IF(AND($C18=0,$E18=0),"--",IF(C18&gt;E18,"[/b]",""))</f>
        <v>--</v>
      </c>
      <c r="BA18" t="str">
        <f>IF(AND($C18=0,$E18=0),"--",IF(C18&lt;E18,"[b]",""))</f>
        <v>--</v>
      </c>
      <c r="BB18" t="str">
        <f>IF(AND($C18=0,$E18=0),"--",IF(C18&lt;E18,"[/b]",""))</f>
        <v>--</v>
      </c>
    </row>
    <row r="19" spans="1:48" ht="15.75" thickBot="1">
      <c r="A19" s="6"/>
      <c r="B19" s="6"/>
      <c r="C19" s="48"/>
      <c r="D19" s="11"/>
      <c r="E19" s="4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52" ht="16.5" thickBot="1">
      <c r="A20" s="7" t="s">
        <v>27</v>
      </c>
      <c r="B20" s="6"/>
      <c r="C20" s="48"/>
      <c r="D20" s="11"/>
      <c r="E20" s="48"/>
      <c r="F20" s="6"/>
      <c r="G20" s="6"/>
      <c r="H20" s="29" t="s">
        <v>23</v>
      </c>
      <c r="I20" s="30"/>
      <c r="J20" s="31"/>
      <c r="K20" s="165" t="s">
        <v>39</v>
      </c>
      <c r="L20" s="166"/>
      <c r="M20" s="166"/>
      <c r="N20" s="166" t="s">
        <v>40</v>
      </c>
      <c r="O20" s="166"/>
      <c r="P20" s="166"/>
      <c r="Q20" s="166" t="s">
        <v>41</v>
      </c>
      <c r="R20" s="166"/>
      <c r="S20" s="166"/>
      <c r="T20" s="166" t="s">
        <v>42</v>
      </c>
      <c r="U20" s="166"/>
      <c r="V20" s="166"/>
      <c r="W20" s="166" t="s">
        <v>43</v>
      </c>
      <c r="X20" s="166"/>
      <c r="Y20" s="166"/>
      <c r="Z20" s="166" t="s">
        <v>44</v>
      </c>
      <c r="AA20" s="166"/>
      <c r="AB20" s="166"/>
      <c r="AC20" s="166" t="s">
        <v>45</v>
      </c>
      <c r="AD20" s="166"/>
      <c r="AE20" s="166"/>
      <c r="AF20" s="166" t="s">
        <v>46</v>
      </c>
      <c r="AG20" s="166"/>
      <c r="AH20" s="166"/>
      <c r="AI20" s="166" t="s">
        <v>47</v>
      </c>
      <c r="AJ20" s="166"/>
      <c r="AK20" s="166"/>
      <c r="AL20" s="166" t="s">
        <v>48</v>
      </c>
      <c r="AM20" s="166"/>
      <c r="AN20" s="166"/>
      <c r="AO20" s="166" t="s">
        <v>49</v>
      </c>
      <c r="AP20" s="166"/>
      <c r="AQ20" s="166"/>
      <c r="AR20" s="166" t="s">
        <v>53</v>
      </c>
      <c r="AS20" s="166"/>
      <c r="AT20" s="166"/>
      <c r="AU20" s="6"/>
      <c r="AV20" t="str">
        <f>A20</f>
        <v>Hävinneiden puoli 2. kierros</v>
      </c>
      <c r="AW20" s="16" t="str">
        <f>AY20&amp;A20&amp;AZ20</f>
        <v>[b]Hävinneiden puoli 2. kierros[/b]</v>
      </c>
      <c r="AY20" t="s">
        <v>104</v>
      </c>
      <c r="AZ20" t="s">
        <v>105</v>
      </c>
    </row>
    <row r="21" spans="1:54" ht="15">
      <c r="A21" s="6">
        <f>'16_4 kaavio'!H11</f>
      </c>
      <c r="B21" s="14" t="e">
        <f>VLOOKUP(A21,Ilmoittautuminen!$B$3:$C$18,2,FALSE)</f>
        <v>#N/A</v>
      </c>
      <c r="C21" s="48">
        <f>'16_4 kaavio'!I11</f>
        <v>0</v>
      </c>
      <c r="D21" s="12" t="s">
        <v>26</v>
      </c>
      <c r="E21" s="48">
        <f>'16_4 kaavio'!I13</f>
        <v>0</v>
      </c>
      <c r="F21" s="6">
        <f>'16_4 kaavio'!H13</f>
      </c>
      <c r="G21" s="14" t="e">
        <f>VLOOKUP(F21,Ilmoittautuminen!$B$3:$C$18,2,FALSE)</f>
        <v>#N/A</v>
      </c>
      <c r="H21" s="32">
        <f>IF(OR(A21="W.O.",F21="W.O."),0,COUNTIF(K21,8)+COUNTIF(N21,8)+COUNTIF(Q21,8)+COUNTIF(T21,8)+COUNTIF(W21,8)+COUNTIF(Z21,8)+COUNTIF(AC21,8)+COUNTIF(AF21,8)+COUNTIF(AI21,8)+COUNTIF(AL21,8)+COUNTIF(AO21,8))</f>
        <v>0</v>
      </c>
      <c r="I21" s="33" t="s">
        <v>26</v>
      </c>
      <c r="J21" s="34">
        <f>IF(OR(A21="W.O.",F21="W.O."),0,COUNTIF(M21,8)+COUNTIF(P21,8)+COUNTIF(S21,8)+COUNTIF(V21,8)+COUNTIF(Y21,8)+COUNTIF(AB21,8)+COUNTIF(AE21,8)+COUNTIF(AH21,8)+COUNTIF(AK21,8)+COUNTIF(AN21,8)+COUNTIF(AQ21,8))</f>
        <v>0</v>
      </c>
      <c r="K21" s="35"/>
      <c r="L21" s="36">
        <f>IF(ISNUMBER(K21),"-","")</f>
      </c>
      <c r="M21" s="37"/>
      <c r="N21" s="38"/>
      <c r="O21" s="36">
        <f>IF(ISNUMBER(N21),"-","")</f>
      </c>
      <c r="P21" s="37"/>
      <c r="Q21" s="38"/>
      <c r="R21" s="36">
        <f>IF(ISNUMBER(Q21),"-","")</f>
      </c>
      <c r="S21" s="37"/>
      <c r="T21" s="38"/>
      <c r="U21" s="36">
        <f>IF(ISNUMBER(T21),"-","")</f>
      </c>
      <c r="V21" s="37"/>
      <c r="W21" s="38"/>
      <c r="X21" s="36">
        <f>IF(ISNUMBER(W21),"-","")</f>
      </c>
      <c r="Y21" s="37"/>
      <c r="Z21" s="38"/>
      <c r="AA21" s="36">
        <f>IF(ISNUMBER(Z21),"-","")</f>
      </c>
      <c r="AB21" s="37"/>
      <c r="AC21" s="38"/>
      <c r="AD21" s="36">
        <f>IF(ISNUMBER(AC21),"-","")</f>
      </c>
      <c r="AE21" s="37"/>
      <c r="AF21" s="38"/>
      <c r="AG21" s="36">
        <f>IF(ISNUMBER(AF21),"-","")</f>
      </c>
      <c r="AH21" s="37"/>
      <c r="AI21" s="38"/>
      <c r="AJ21" s="36">
        <f>IF(ISNUMBER(AI21),"-","")</f>
      </c>
      <c r="AK21" s="37"/>
      <c r="AL21" s="38"/>
      <c r="AM21" s="36">
        <f>IF(ISNUMBER(AL21),"-","")</f>
      </c>
      <c r="AN21" s="37"/>
      <c r="AO21" s="36"/>
      <c r="AP21" s="39">
        <f>IF(ISNUMBER(AO21),"-","")</f>
      </c>
      <c r="AQ21" s="36"/>
      <c r="AR21" s="38">
        <f>SUM(K21+N21+Q21+T21+W21+Z21+AC21+AF21+AI21+AL21+AO21)</f>
        <v>0</v>
      </c>
      <c r="AS21" s="36" t="str">
        <f>IF(ISNUMBER(AR21),"-","")</f>
        <v>-</v>
      </c>
      <c r="AT21" s="37">
        <f>(M21+P21+S21+V21+Y21+AB21+AE21+AH21+AK21+AN21+AQ21)</f>
        <v>0</v>
      </c>
      <c r="AU21" s="6"/>
      <c r="AV21" t="e">
        <f>CONCATENATE(AY21,A21,AZ21," ",B21," - ",BA21,F21,BB21," ",G21,"  (",C21,"-",E21,") ",K21,M21,"  ",N21,P21,"  ",Q21,S21,"  ",T21,V21,"  ")</f>
        <v>#N/A</v>
      </c>
      <c r="AW21" t="e">
        <f>CONCATENATE(AV21,W21,Y21,"  ",Z21,AB21,"  ",AC21,AE21,"  ",AF21,AH21,"  ",AI21,AJ21,AK21,"  ",AL21,AN21,"  ",AO21,AQ21,"; ",AR21,"-",AT21)</f>
        <v>#N/A</v>
      </c>
      <c r="AY21" t="str">
        <f>IF(AND($C21=0,$E21=0),"--",IF(C21&lt;E21,"[color=#FF0000]",""))</f>
        <v>--</v>
      </c>
      <c r="AZ21" t="str">
        <f>IF(AND($C21=0,$E21=0),"--",IF(C21&lt;E21,"[/color]",""))</f>
        <v>--</v>
      </c>
      <c r="BA21" t="str">
        <f>IF(AND($C21=0,$E21=0),"--",IF(C21&gt;E21,"[color=#FF0000]",""))</f>
        <v>--</v>
      </c>
      <c r="BB21" t="str">
        <f>IF(AND($C21=0,$E21=0),"--",IF(C21&gt;E21,"[/color]",""))</f>
        <v>--</v>
      </c>
    </row>
    <row r="22" spans="1:54" ht="15">
      <c r="A22" s="6">
        <f>'16_4 kaavio'!H23</f>
      </c>
      <c r="B22" s="14" t="e">
        <f>VLOOKUP(A22,Ilmoittautuminen!$B$3:$C$18,2,FALSE)</f>
        <v>#N/A</v>
      </c>
      <c r="C22" s="48">
        <f>'16_4 kaavio'!I23</f>
        <v>0</v>
      </c>
      <c r="D22" s="12" t="s">
        <v>26</v>
      </c>
      <c r="E22" s="48">
        <f>'16_4 kaavio'!I25</f>
        <v>0</v>
      </c>
      <c r="F22" s="6">
        <f>'16_4 kaavio'!H25</f>
      </c>
      <c r="G22" s="14" t="e">
        <f>VLOOKUP(F22,Ilmoittautuminen!$B$3:$C$18,2,FALSE)</f>
        <v>#N/A</v>
      </c>
      <c r="H22" s="32">
        <f>IF(OR(A22="W.O.",F22="W.O."),0,COUNTIF(K22,8)+COUNTIF(N22,8)+COUNTIF(Q22,8)+COUNTIF(T22,8)+COUNTIF(W22,8)+COUNTIF(Z22,8)+COUNTIF(AC22,8)+COUNTIF(AF22,8)+COUNTIF(AI22,8)+COUNTIF(AL22,8)+COUNTIF(AO22,8))</f>
        <v>0</v>
      </c>
      <c r="I22" s="33" t="s">
        <v>26</v>
      </c>
      <c r="J22" s="34">
        <f>IF(OR(A22="W.O.",F22="W.O."),0,COUNTIF(M22,8)+COUNTIF(P22,8)+COUNTIF(S22,8)+COUNTIF(V22,8)+COUNTIF(Y22,8)+COUNTIF(AB22,8)+COUNTIF(AE22,8)+COUNTIF(AH22,8)+COUNTIF(AK22,8)+COUNTIF(AN22,8)+COUNTIF(AQ22,8))</f>
        <v>0</v>
      </c>
      <c r="K22" s="41"/>
      <c r="L22" s="42">
        <f>IF(ISNUMBER(K22),"-","")</f>
      </c>
      <c r="M22" s="43"/>
      <c r="N22" s="44"/>
      <c r="O22" s="42">
        <f>IF(ISNUMBER(N22),"-","")</f>
      </c>
      <c r="P22" s="43"/>
      <c r="Q22" s="44"/>
      <c r="R22" s="42">
        <f>IF(ISNUMBER(Q22),"-","")</f>
      </c>
      <c r="S22" s="43"/>
      <c r="T22" s="44"/>
      <c r="U22" s="42">
        <f>IF(ISNUMBER(T22),"-","")</f>
      </c>
      <c r="V22" s="43"/>
      <c r="W22" s="44"/>
      <c r="X22" s="42">
        <f>IF(ISNUMBER(W22),"-","")</f>
      </c>
      <c r="Y22" s="43"/>
      <c r="Z22" s="44"/>
      <c r="AA22" s="42">
        <f>IF(ISNUMBER(Z22),"-","")</f>
      </c>
      <c r="AB22" s="43"/>
      <c r="AC22" s="44"/>
      <c r="AD22" s="42">
        <f>IF(ISNUMBER(AC22),"-","")</f>
      </c>
      <c r="AE22" s="43"/>
      <c r="AF22" s="44"/>
      <c r="AG22" s="42">
        <f>IF(ISNUMBER(AF22),"-","")</f>
      </c>
      <c r="AH22" s="43"/>
      <c r="AI22" s="44"/>
      <c r="AJ22" s="42">
        <f>IF(ISNUMBER(AI22),"-","")</f>
      </c>
      <c r="AK22" s="43"/>
      <c r="AL22" s="44"/>
      <c r="AM22" s="42">
        <f>IF(ISNUMBER(AL22),"-","")</f>
      </c>
      <c r="AN22" s="43"/>
      <c r="AO22" s="42"/>
      <c r="AP22" s="18">
        <f>IF(ISNUMBER(AO22),"-","")</f>
      </c>
      <c r="AQ22" s="42"/>
      <c r="AR22" s="44">
        <f>SUM(K22+N22+Q22+T22+W22+Z22+AC22+AF22+AI22+AL22+AO22)</f>
        <v>0</v>
      </c>
      <c r="AS22" s="42" t="str">
        <f>IF(ISNUMBER(AR22),"-","")</f>
        <v>-</v>
      </c>
      <c r="AT22" s="43">
        <f>SUM(M22+P22+S22+V22+Y22+AB22+AE22+AH22+AK22+AN22+AQ22)</f>
        <v>0</v>
      </c>
      <c r="AU22" s="6"/>
      <c r="AV22" t="e">
        <f>CONCATENATE(AY22,A22,AZ22," ",B22," - ",BA22,F22,BB22," ",G22,"  (",C22,"-",E22,") ",K22,M22,"  ",N22,P22,"  ",Q22,S22,"  ",T22,V22,"  ")</f>
        <v>#N/A</v>
      </c>
      <c r="AW22" t="e">
        <f>CONCATENATE(AV22,W22,Y22,"  ",Z22,AB22,"  ",AC22,AE22,"  ",AF22,AH22,"  ",AI22,AJ22,AK22,"  ",AL22,AN22,"  ",AO22,AQ22,"; ",AR22,"-",AT22)</f>
        <v>#N/A</v>
      </c>
      <c r="AY22" t="str">
        <f>IF(AND($C22=0,$E22=0),"--",IF(C22&lt;E22,"[color=#FF0000]",""))</f>
        <v>--</v>
      </c>
      <c r="AZ22" t="str">
        <f>IF(AND($C22=0,$E22=0),"--",IF(C22&lt;E22,"[/color]",""))</f>
        <v>--</v>
      </c>
      <c r="BA22" t="str">
        <f>IF(AND($C22=0,$E22=0),"--",IF(C22&gt;E22,"[color=#FF0000]",""))</f>
        <v>--</v>
      </c>
      <c r="BB22" t="str">
        <f>IF(AND($C22=0,$E22=0),"--",IF(C22&gt;E22,"[/color]",""))</f>
        <v>--</v>
      </c>
    </row>
    <row r="23" spans="1:54" ht="15">
      <c r="A23" s="6">
        <f>'16_4 kaavio'!H39</f>
      </c>
      <c r="B23" s="14" t="e">
        <f>VLOOKUP(A23,Ilmoittautuminen!$B$3:$C$18,2,FALSE)</f>
        <v>#N/A</v>
      </c>
      <c r="C23" s="48">
        <f>'16_4 kaavio'!I39</f>
        <v>0</v>
      </c>
      <c r="D23" s="12" t="s">
        <v>26</v>
      </c>
      <c r="E23" s="48">
        <f>'16_4 kaavio'!I41</f>
        <v>0</v>
      </c>
      <c r="F23" s="6">
        <f>'16_4 kaavio'!H41</f>
      </c>
      <c r="G23" s="14" t="e">
        <f>VLOOKUP(F23,Ilmoittautuminen!$B$3:$C$18,2,FALSE)</f>
        <v>#N/A</v>
      </c>
      <c r="H23" s="32">
        <f>IF(OR(A23="W.O.",F23="W.O."),0,COUNTIF(K23,8)+COUNTIF(N23,8)+COUNTIF(Q23,8)+COUNTIF(T23,8)+COUNTIF(W23,8)+COUNTIF(Z23,8)+COUNTIF(AC23,8)+COUNTIF(AF23,8)+COUNTIF(AI23,8)+COUNTIF(AL23,8)+COUNTIF(AO23,8))</f>
        <v>0</v>
      </c>
      <c r="I23" s="33" t="s">
        <v>26</v>
      </c>
      <c r="J23" s="34">
        <f>IF(OR(A23="W.O.",F23="W.O."),0,COUNTIF(M23,8)+COUNTIF(P23,8)+COUNTIF(S23,8)+COUNTIF(V23,8)+COUNTIF(Y23,8)+COUNTIF(AB23,8)+COUNTIF(AE23,8)+COUNTIF(AH23,8)+COUNTIF(AK23,8)+COUNTIF(AN23,8)+COUNTIF(AQ23,8))</f>
        <v>0</v>
      </c>
      <c r="K23" s="41"/>
      <c r="L23" s="42">
        <f>IF(ISNUMBER(K23),"-","")</f>
      </c>
      <c r="M23" s="43"/>
      <c r="N23" s="44"/>
      <c r="O23" s="42">
        <f>IF(ISNUMBER(N23),"-","")</f>
      </c>
      <c r="P23" s="43"/>
      <c r="Q23" s="44"/>
      <c r="R23" s="42">
        <f>IF(ISNUMBER(Q23),"-","")</f>
      </c>
      <c r="S23" s="43"/>
      <c r="T23" s="44"/>
      <c r="U23" s="42">
        <f>IF(ISNUMBER(T23),"-","")</f>
      </c>
      <c r="V23" s="43"/>
      <c r="W23" s="44"/>
      <c r="X23" s="42">
        <f>IF(ISNUMBER(W23),"-","")</f>
      </c>
      <c r="Y23" s="43"/>
      <c r="Z23" s="44"/>
      <c r="AA23" s="42">
        <f>IF(ISNUMBER(Z23),"-","")</f>
      </c>
      <c r="AB23" s="43"/>
      <c r="AC23" s="44"/>
      <c r="AD23" s="42">
        <f>IF(ISNUMBER(AC23),"-","")</f>
      </c>
      <c r="AE23" s="43"/>
      <c r="AF23" s="44"/>
      <c r="AG23" s="42">
        <f>IF(ISNUMBER(AF23),"-","")</f>
      </c>
      <c r="AH23" s="43"/>
      <c r="AI23" s="44"/>
      <c r="AJ23" s="42">
        <f>IF(ISNUMBER(AI23),"-","")</f>
      </c>
      <c r="AK23" s="43"/>
      <c r="AL23" s="44"/>
      <c r="AM23" s="42">
        <f>IF(ISNUMBER(AL23),"-","")</f>
      </c>
      <c r="AN23" s="43"/>
      <c r="AO23" s="42"/>
      <c r="AP23" s="18">
        <f>IF(ISNUMBER(AO23),"-","")</f>
      </c>
      <c r="AQ23" s="42"/>
      <c r="AR23" s="44">
        <f>SUM(K23+N23+Q23+T23+W23+Z23+AC23+AF23+AI23+AL23+AO23)</f>
        <v>0</v>
      </c>
      <c r="AS23" s="42" t="str">
        <f>IF(ISNUMBER(AR23),"-","")</f>
        <v>-</v>
      </c>
      <c r="AT23" s="43">
        <f>SUM(M23+P23+S23+V23+Y23+AB23+AE23+AH23+AK23+AN23+AQ23)</f>
        <v>0</v>
      </c>
      <c r="AU23" s="6"/>
      <c r="AV23" t="e">
        <f>CONCATENATE(AY23,A23,AZ23," ",B23," - ",BA23,F23,BB23," ",G23,"  (",C23,"-",E23,") ",K23,M23,"  ",N23,P23,"  ",Q23,S23,"  ",T23,V23,"  ")</f>
        <v>#N/A</v>
      </c>
      <c r="AW23" t="e">
        <f>CONCATENATE(AV23,W23,Y23,"  ",Z23,AB23,"  ",AC23,AE23,"  ",AF23,AH23,"  ",AI23,AJ23,AK23,"  ",AL23,AN23,"  ",AO23,AQ23,"; ",AR23,"-",AT23)</f>
        <v>#N/A</v>
      </c>
      <c r="AY23" t="str">
        <f>IF(AND($C23=0,$E23=0),"--",IF(C23&lt;E23,"[color=#FF0000]",""))</f>
        <v>--</v>
      </c>
      <c r="AZ23" t="str">
        <f>IF(AND($C23=0,$E23=0),"--",IF(C23&lt;E23,"[/color]",""))</f>
        <v>--</v>
      </c>
      <c r="BA23" t="str">
        <f>IF(AND($C23=0,$E23=0),"--",IF(C23&gt;E23,"[color=#FF0000]",""))</f>
        <v>--</v>
      </c>
      <c r="BB23" t="str">
        <f>IF(AND($C23=0,$E23=0),"--",IF(C23&gt;E23,"[/color]",""))</f>
        <v>--</v>
      </c>
    </row>
    <row r="24" spans="1:54" ht="15">
      <c r="A24" s="6">
        <f>'16_4 kaavio'!H51</f>
      </c>
      <c r="B24" s="14" t="e">
        <f>VLOOKUP(A24,Ilmoittautuminen!$B$3:$C$18,2,FALSE)</f>
        <v>#N/A</v>
      </c>
      <c r="C24" s="48">
        <f>'16_4 kaavio'!I51</f>
        <v>0</v>
      </c>
      <c r="D24" s="12" t="s">
        <v>26</v>
      </c>
      <c r="E24" s="48">
        <f>'16_4 kaavio'!I53</f>
        <v>0</v>
      </c>
      <c r="F24" s="6">
        <f>'16_4 kaavio'!H53</f>
      </c>
      <c r="G24" s="14" t="e">
        <f>VLOOKUP(F24,Ilmoittautuminen!$B$3:$C$18,2,FALSE)</f>
        <v>#N/A</v>
      </c>
      <c r="H24" s="32">
        <f>IF(OR(A24="W.O.",F24="W.O."),0,COUNTIF(K24,8)+COUNTIF(N24,8)+COUNTIF(Q24,8)+COUNTIF(T24,8)+COUNTIF(W24,8)+COUNTIF(Z24,8)+COUNTIF(AC24,8)+COUNTIF(AF24,8)+COUNTIF(AI24,8)+COUNTIF(AL24,8)+COUNTIF(AO24,8))</f>
        <v>0</v>
      </c>
      <c r="I24" s="33" t="s">
        <v>26</v>
      </c>
      <c r="J24" s="34">
        <f>IF(OR(A24="W.O.",F24="W.O."),0,COUNTIF(M24,8)+COUNTIF(P24,8)+COUNTIF(S24,8)+COUNTIF(V24,8)+COUNTIF(Y24,8)+COUNTIF(AB24,8)+COUNTIF(AE24,8)+COUNTIF(AH24,8)+COUNTIF(AK24,8)+COUNTIF(AN24,8)+COUNTIF(AQ24,8))</f>
        <v>0</v>
      </c>
      <c r="K24" s="41"/>
      <c r="L24" s="42">
        <f>IF(ISNUMBER(K24),"-","")</f>
      </c>
      <c r="M24" s="43"/>
      <c r="N24" s="44"/>
      <c r="O24" s="42">
        <f>IF(ISNUMBER(N24),"-","")</f>
      </c>
      <c r="P24" s="43"/>
      <c r="Q24" s="44"/>
      <c r="R24" s="42">
        <f>IF(ISNUMBER(Q24),"-","")</f>
      </c>
      <c r="S24" s="43"/>
      <c r="T24" s="44"/>
      <c r="U24" s="42">
        <f>IF(ISNUMBER(T24),"-","")</f>
      </c>
      <c r="V24" s="43"/>
      <c r="W24" s="44"/>
      <c r="X24" s="42">
        <f>IF(ISNUMBER(W24),"-","")</f>
      </c>
      <c r="Y24" s="43"/>
      <c r="Z24" s="44"/>
      <c r="AA24" s="42">
        <f>IF(ISNUMBER(Z24),"-","")</f>
      </c>
      <c r="AB24" s="43"/>
      <c r="AC24" s="44"/>
      <c r="AD24" s="42">
        <f>IF(ISNUMBER(AC24),"-","")</f>
      </c>
      <c r="AE24" s="43"/>
      <c r="AF24" s="44"/>
      <c r="AG24" s="42">
        <f>IF(ISNUMBER(AF24),"-","")</f>
      </c>
      <c r="AH24" s="43"/>
      <c r="AI24" s="44"/>
      <c r="AJ24" s="42">
        <f>IF(ISNUMBER(AI24),"-","")</f>
      </c>
      <c r="AK24" s="43"/>
      <c r="AL24" s="44"/>
      <c r="AM24" s="42">
        <f>IF(ISNUMBER(AL24),"-","")</f>
      </c>
      <c r="AN24" s="43"/>
      <c r="AO24" s="42"/>
      <c r="AP24" s="18">
        <f>IF(ISNUMBER(AO24),"-","")</f>
      </c>
      <c r="AQ24" s="42"/>
      <c r="AR24" s="44">
        <f>SUM(K24+N24+Q24+T24+W24+Z24+AC24+AF24+AI24+AL24+AO24)</f>
        <v>0</v>
      </c>
      <c r="AS24" s="42" t="str">
        <f>IF(ISNUMBER(AR24),"-","")</f>
        <v>-</v>
      </c>
      <c r="AT24" s="43">
        <f>SUM(M24+P24+S24+V24+Y24+AB24+AE24+AH24+AK24+AN24+AQ24)</f>
        <v>0</v>
      </c>
      <c r="AU24" s="6"/>
      <c r="AV24" t="e">
        <f>CONCATENATE(AY24,A24,AZ24," ",B24," - ",BA24,F24,BB24," ",G24,"  (",C24,"-",E24,") ",K24,M24,"  ",N24,P24,"  ",Q24,S24,"  ",T24,V24,"  ")</f>
        <v>#N/A</v>
      </c>
      <c r="AW24" t="e">
        <f>CONCATENATE(AV24,W24,Y24,"  ",Z24,AB24,"  ",AC24,AE24,"  ",AF24,AH24,"  ",AI24,AJ24,AK24,"  ",AL24,AN24,"  ",AO24,AQ24,"; ",AR24,"-",AT24)</f>
        <v>#N/A</v>
      </c>
      <c r="AY24" t="str">
        <f>IF(AND($C24=0,$E24=0),"--",IF(C24&lt;E24,"[color=#FF0000]",""))</f>
        <v>--</v>
      </c>
      <c r="AZ24" t="str">
        <f>IF(AND($C24=0,$E24=0),"--",IF(C24&lt;E24,"[/color]",""))</f>
        <v>--</v>
      </c>
      <c r="BA24" t="str">
        <f>IF(AND($C24=0,$E24=0),"--",IF(C24&gt;E24,"[color=#FF0000]",""))</f>
        <v>--</v>
      </c>
      <c r="BB24" t="str">
        <f>IF(AND($C24=0,$E24=0),"--",IF(C24&gt;E24,"[/color]",""))</f>
        <v>--</v>
      </c>
    </row>
    <row r="25" spans="1:48" ht="15.75" thickBot="1">
      <c r="A25" s="6"/>
      <c r="B25" s="6"/>
      <c r="C25" s="48"/>
      <c r="D25" s="11"/>
      <c r="E25" s="4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52" ht="16.5" thickBot="1">
      <c r="A26" s="7" t="s">
        <v>29</v>
      </c>
      <c r="B26" s="6"/>
      <c r="C26" s="48"/>
      <c r="D26" s="11"/>
      <c r="E26" s="48"/>
      <c r="F26" s="6"/>
      <c r="G26" s="6"/>
      <c r="H26" s="29" t="s">
        <v>23</v>
      </c>
      <c r="I26" s="30"/>
      <c r="J26" s="31"/>
      <c r="K26" s="165" t="s">
        <v>39</v>
      </c>
      <c r="L26" s="166"/>
      <c r="M26" s="166"/>
      <c r="N26" s="166" t="s">
        <v>40</v>
      </c>
      <c r="O26" s="166"/>
      <c r="P26" s="166"/>
      <c r="Q26" s="166" t="s">
        <v>41</v>
      </c>
      <c r="R26" s="166"/>
      <c r="S26" s="166"/>
      <c r="T26" s="166" t="s">
        <v>42</v>
      </c>
      <c r="U26" s="166"/>
      <c r="V26" s="166"/>
      <c r="W26" s="166" t="s">
        <v>43</v>
      </c>
      <c r="X26" s="166"/>
      <c r="Y26" s="166"/>
      <c r="Z26" s="166" t="s">
        <v>44</v>
      </c>
      <c r="AA26" s="166"/>
      <c r="AB26" s="166"/>
      <c r="AC26" s="166" t="s">
        <v>45</v>
      </c>
      <c r="AD26" s="166"/>
      <c r="AE26" s="166"/>
      <c r="AF26" s="166" t="s">
        <v>46</v>
      </c>
      <c r="AG26" s="166"/>
      <c r="AH26" s="166"/>
      <c r="AI26" s="166" t="s">
        <v>47</v>
      </c>
      <c r="AJ26" s="166"/>
      <c r="AK26" s="166"/>
      <c r="AL26" s="166" t="s">
        <v>48</v>
      </c>
      <c r="AM26" s="166"/>
      <c r="AN26" s="166"/>
      <c r="AO26" s="166" t="s">
        <v>49</v>
      </c>
      <c r="AP26" s="166"/>
      <c r="AQ26" s="166"/>
      <c r="AR26" s="166" t="s">
        <v>53</v>
      </c>
      <c r="AS26" s="166"/>
      <c r="AT26" s="166"/>
      <c r="AU26" s="6"/>
      <c r="AV26" t="str">
        <f>A26</f>
        <v>Hävinneiden puoli 3. kierros</v>
      </c>
      <c r="AW26" s="16" t="str">
        <f>AY26&amp;A26&amp;AZ26</f>
        <v>[b]Hävinneiden puoli 3. kierros[/b]</v>
      </c>
      <c r="AY26" t="s">
        <v>104</v>
      </c>
      <c r="AZ26" t="s">
        <v>105</v>
      </c>
    </row>
    <row r="27" spans="1:54" ht="15">
      <c r="A27" s="6">
        <f>'16_4 kaavio'!F11</f>
      </c>
      <c r="B27" s="14" t="e">
        <f>VLOOKUP(A27,Ilmoittautuminen!$B$3:$C$18,2,FALSE)</f>
        <v>#N/A</v>
      </c>
      <c r="C27" s="48">
        <f>'16_4 kaavio'!G11</f>
        <v>0</v>
      </c>
      <c r="D27" s="12" t="s">
        <v>26</v>
      </c>
      <c r="E27" s="48">
        <f>'16_4 kaavio'!G13</f>
        <v>0</v>
      </c>
      <c r="F27" s="6">
        <f>'16_4 kaavio'!F13</f>
      </c>
      <c r="G27" s="14" t="e">
        <f>VLOOKUP(F27,Ilmoittautuminen!$B$3:$C$18,2,FALSE)</f>
        <v>#N/A</v>
      </c>
      <c r="H27" s="32">
        <f>IF(OR(A27="W.O.",F27="W.O."),0,COUNTIF(K27,8)+COUNTIF(N27,8)+COUNTIF(Q27,8)+COUNTIF(T27,8)+COUNTIF(W27,8)+COUNTIF(Z27,8)+COUNTIF(AC27,8)+COUNTIF(AF27,8)+COUNTIF(AI27,8)+COUNTIF(AL27,8)+COUNTIF(AO27,8))</f>
        <v>0</v>
      </c>
      <c r="I27" s="33" t="s">
        <v>26</v>
      </c>
      <c r="J27" s="34">
        <f>IF(OR(A27="W.O.",F27="W.O."),0,COUNTIF(M27,8)+COUNTIF(P27,8)+COUNTIF(S27,8)+COUNTIF(V27,8)+COUNTIF(Y27,8)+COUNTIF(AB27,8)+COUNTIF(AE27,8)+COUNTIF(AH27,8)+COUNTIF(AK27,8)+COUNTIF(AN27,8)+COUNTIF(AQ27,8))</f>
        <v>0</v>
      </c>
      <c r="K27" s="35"/>
      <c r="L27" s="36">
        <f>IF(ISNUMBER(K27),"-","")</f>
      </c>
      <c r="M27" s="37"/>
      <c r="N27" s="38"/>
      <c r="O27" s="36">
        <f>IF(ISNUMBER(N27),"-","")</f>
      </c>
      <c r="P27" s="37"/>
      <c r="Q27" s="38"/>
      <c r="R27" s="36">
        <f>IF(ISNUMBER(Q27),"-","")</f>
      </c>
      <c r="S27" s="37"/>
      <c r="T27" s="38"/>
      <c r="U27" s="36">
        <f>IF(ISNUMBER(T27),"-","")</f>
      </c>
      <c r="V27" s="37"/>
      <c r="W27" s="38"/>
      <c r="X27" s="36">
        <f>IF(ISNUMBER(W27),"-","")</f>
      </c>
      <c r="Y27" s="37"/>
      <c r="Z27" s="38"/>
      <c r="AA27" s="36">
        <f>IF(ISNUMBER(Z27),"-","")</f>
      </c>
      <c r="AB27" s="37"/>
      <c r="AC27" s="38"/>
      <c r="AD27" s="36">
        <f>IF(ISNUMBER(AC27),"-","")</f>
      </c>
      <c r="AE27" s="37"/>
      <c r="AF27" s="38"/>
      <c r="AG27" s="36">
        <f>IF(ISNUMBER(AF27),"-","")</f>
      </c>
      <c r="AH27" s="37"/>
      <c r="AI27" s="38"/>
      <c r="AJ27" s="36">
        <f>IF(ISNUMBER(AI27),"-","")</f>
      </c>
      <c r="AK27" s="37"/>
      <c r="AL27" s="38"/>
      <c r="AM27" s="36">
        <f>IF(ISNUMBER(AL27),"-","")</f>
      </c>
      <c r="AN27" s="37"/>
      <c r="AO27" s="36"/>
      <c r="AP27" s="39">
        <f>IF(ISNUMBER(AO27),"-","")</f>
      </c>
      <c r="AQ27" s="36"/>
      <c r="AR27" s="38">
        <f>SUM(K27+N27+Q27+T27+W27+Z27+AC27+AF27+AI27+AL27+AO27)</f>
        <v>0</v>
      </c>
      <c r="AS27" s="36" t="str">
        <f>IF(ISNUMBER(AR27),"-","")</f>
        <v>-</v>
      </c>
      <c r="AT27" s="37">
        <f>(M27+P27+S27+V27+Y27+AB27+AE27+AH27+AK27+AN27+AQ27)</f>
        <v>0</v>
      </c>
      <c r="AU27" s="6"/>
      <c r="AV27" t="e">
        <f>CONCATENATE(AY27,A27,AZ27," ",B27," - ",BA27,F27,BB27," ",G27,"  (",C27,"-",E27,") ",K27,M27,"  ",N27,P27,"  ",Q27,S27,"  ",T27,V27,"  ")</f>
        <v>#N/A</v>
      </c>
      <c r="AW27" t="e">
        <f>CONCATENATE(AV27,W27,Y27,"  ",Z27,AB27,"  ",AC27,AE27,"  ",AF27,AH27,"  ",AI27,AJ27,AK27,"  ",AL27,AN27,"  ",AO27,AQ27,"; ",AR27,"-",AT27)</f>
        <v>#N/A</v>
      </c>
      <c r="AY27" t="str">
        <f>IF(AND($C27=0,$E27=0),"--",IF(C27&lt;E27,"[color=#FF0000]",""))</f>
        <v>--</v>
      </c>
      <c r="AZ27" t="str">
        <f>IF(AND($C27=0,$E27=0),"--",IF(C27&lt;E27,"[/color]",""))</f>
        <v>--</v>
      </c>
      <c r="BA27" t="str">
        <f>IF(AND($C27=0,$E27=0),"--",IF(C27&gt;E27,"[color=#FF0000]",""))</f>
        <v>--</v>
      </c>
      <c r="BB27" t="str">
        <f>IF(AND($C27=0,$E27=0),"--",IF(C27&gt;E27,"[/color]",""))</f>
        <v>--</v>
      </c>
    </row>
    <row r="28" spans="1:54" ht="15">
      <c r="A28" s="6">
        <f>'16_4 kaavio'!F23</f>
      </c>
      <c r="B28" s="14" t="e">
        <f>VLOOKUP(A28,Ilmoittautuminen!$B$3:$C$18,2,FALSE)</f>
        <v>#N/A</v>
      </c>
      <c r="C28" s="48">
        <f>'16_4 kaavio'!G23</f>
        <v>0</v>
      </c>
      <c r="D28" s="12" t="s">
        <v>26</v>
      </c>
      <c r="E28" s="48">
        <f>'16_4 kaavio'!G25</f>
        <v>0</v>
      </c>
      <c r="F28" s="6">
        <f>'16_4 kaavio'!F25</f>
      </c>
      <c r="G28" s="14" t="e">
        <f>VLOOKUP(F28,Ilmoittautuminen!$B$3:$C$18,2,FALSE)</f>
        <v>#N/A</v>
      </c>
      <c r="H28" s="32">
        <f>IF(OR(A28="W.O.",F28="W.O."),0,COUNTIF(K28,8)+COUNTIF(N28,8)+COUNTIF(Q28,8)+COUNTIF(T28,8)+COUNTIF(W28,8)+COUNTIF(Z28,8)+COUNTIF(AC28,8)+COUNTIF(AF28,8)+COUNTIF(AI28,8)+COUNTIF(AL28,8)+COUNTIF(AO28,8))</f>
        <v>0</v>
      </c>
      <c r="I28" s="33" t="s">
        <v>26</v>
      </c>
      <c r="J28" s="34">
        <f>IF(OR(A28="W.O.",F28="W.O."),0,COUNTIF(M28,8)+COUNTIF(P28,8)+COUNTIF(S28,8)+COUNTIF(V28,8)+COUNTIF(Y28,8)+COUNTIF(AB28,8)+COUNTIF(AE28,8)+COUNTIF(AH28,8)+COUNTIF(AK28,8)+COUNTIF(AN28,8)+COUNTIF(AQ28,8))</f>
        <v>0</v>
      </c>
      <c r="K28" s="41"/>
      <c r="L28" s="42">
        <f>IF(ISNUMBER(K28),"-","")</f>
      </c>
      <c r="M28" s="43"/>
      <c r="N28" s="44"/>
      <c r="O28" s="42">
        <f>IF(ISNUMBER(N28),"-","")</f>
      </c>
      <c r="P28" s="43"/>
      <c r="Q28" s="44"/>
      <c r="R28" s="42">
        <f>IF(ISNUMBER(Q28),"-","")</f>
      </c>
      <c r="S28" s="43"/>
      <c r="T28" s="44"/>
      <c r="U28" s="42">
        <f>IF(ISNUMBER(T28),"-","")</f>
      </c>
      <c r="V28" s="43"/>
      <c r="W28" s="44"/>
      <c r="X28" s="42">
        <f>IF(ISNUMBER(W28),"-","")</f>
      </c>
      <c r="Y28" s="43"/>
      <c r="Z28" s="44"/>
      <c r="AA28" s="42">
        <f>IF(ISNUMBER(Z28),"-","")</f>
      </c>
      <c r="AB28" s="43"/>
      <c r="AC28" s="44"/>
      <c r="AD28" s="42">
        <f>IF(ISNUMBER(AC28),"-","")</f>
      </c>
      <c r="AE28" s="43"/>
      <c r="AF28" s="44"/>
      <c r="AG28" s="42">
        <f>IF(ISNUMBER(AF28),"-","")</f>
      </c>
      <c r="AH28" s="43"/>
      <c r="AI28" s="44"/>
      <c r="AJ28" s="42">
        <f>IF(ISNUMBER(AI28),"-","")</f>
      </c>
      <c r="AK28" s="43"/>
      <c r="AL28" s="44"/>
      <c r="AM28" s="42">
        <f>IF(ISNUMBER(AL28),"-","")</f>
      </c>
      <c r="AN28" s="43"/>
      <c r="AO28" s="42"/>
      <c r="AP28" s="18">
        <f>IF(ISNUMBER(AO28),"-","")</f>
      </c>
      <c r="AQ28" s="42"/>
      <c r="AR28" s="44">
        <f>SUM(K28+N28+Q28+T28+W28+Z28+AC28+AF28+AI28+AL28+AO28)</f>
        <v>0</v>
      </c>
      <c r="AS28" s="42" t="str">
        <f>IF(ISNUMBER(AR28),"-","")</f>
        <v>-</v>
      </c>
      <c r="AT28" s="43">
        <f>SUM(M28+P28+S28+V28+Y28+AB28+AE28+AH28+AK28+AN28+AQ28)</f>
        <v>0</v>
      </c>
      <c r="AU28" s="6"/>
      <c r="AV28" t="e">
        <f>CONCATENATE(AY28,A28,AZ28," ",B28," - ",BA28,F28,BB28," ",G28,"  (",C28,"-",E28,") ",K28,M28,"  ",N28,P28,"  ",Q28,S28,"  ",T28,V28,"  ")</f>
        <v>#N/A</v>
      </c>
      <c r="AW28" t="e">
        <f>CONCATENATE(AV28,W28,Y28,"  ",Z28,AB28,"  ",AC28,AE28,"  ",AF28,AH28,"  ",AI28,AJ28,AK28,"  ",AL28,AN28,"  ",AO28,AQ28,"; ",AR28,"-",AT28)</f>
        <v>#N/A</v>
      </c>
      <c r="AY28" t="str">
        <f>IF(AND($C28=0,$E28=0),"--",IF(C28&lt;E28,"[color=#FF0000]",""))</f>
        <v>--</v>
      </c>
      <c r="AZ28" t="str">
        <f>IF(AND($C28=0,$E28=0),"--",IF(C28&lt;E28,"[/color]",""))</f>
        <v>--</v>
      </c>
      <c r="BA28" t="str">
        <f>IF(AND($C28=0,$E28=0),"--",IF(C28&gt;E28,"[color=#FF0000]",""))</f>
        <v>--</v>
      </c>
      <c r="BB28" t="str">
        <f>IF(AND($C28=0,$E28=0),"--",IF(C28&gt;E28,"[/color]",""))</f>
        <v>--</v>
      </c>
    </row>
    <row r="29" spans="1:54" ht="15">
      <c r="A29" s="6">
        <f>'16_4 kaavio'!F39</f>
      </c>
      <c r="B29" s="14" t="e">
        <f>VLOOKUP(A29,Ilmoittautuminen!$B$3:$C$18,2,FALSE)</f>
        <v>#N/A</v>
      </c>
      <c r="C29" s="48">
        <f>'16_4 kaavio'!G39</f>
        <v>0</v>
      </c>
      <c r="D29" s="12" t="s">
        <v>26</v>
      </c>
      <c r="E29" s="48">
        <f>'16_4 kaavio'!G41</f>
        <v>0</v>
      </c>
      <c r="F29" s="6">
        <f>'16_4 kaavio'!F41</f>
      </c>
      <c r="G29" s="14" t="e">
        <f>VLOOKUP(F29,Ilmoittautuminen!$B$3:$C$18,2,FALSE)</f>
        <v>#N/A</v>
      </c>
      <c r="H29" s="32">
        <f>IF(OR(A29="W.O.",F29="W.O."),0,COUNTIF(K29,8)+COUNTIF(N29,8)+COUNTIF(Q29,8)+COUNTIF(T29,8)+COUNTIF(W29,8)+COUNTIF(Z29,8)+COUNTIF(AC29,8)+COUNTIF(AF29,8)+COUNTIF(AI29,8)+COUNTIF(AL29,8)+COUNTIF(AO29,8))</f>
        <v>0</v>
      </c>
      <c r="I29" s="33" t="s">
        <v>26</v>
      </c>
      <c r="J29" s="34">
        <f>IF(OR(A29="W.O.",F29="W.O."),0,COUNTIF(M29,8)+COUNTIF(P29,8)+COUNTIF(S29,8)+COUNTIF(V29,8)+COUNTIF(Y29,8)+COUNTIF(AB29,8)+COUNTIF(AE29,8)+COUNTIF(AH29,8)+COUNTIF(AK29,8)+COUNTIF(AN29,8)+COUNTIF(AQ29,8))</f>
        <v>0</v>
      </c>
      <c r="K29" s="41"/>
      <c r="L29" s="42">
        <f>IF(ISNUMBER(K29),"-","")</f>
      </c>
      <c r="M29" s="43"/>
      <c r="N29" s="44"/>
      <c r="O29" s="42">
        <f>IF(ISNUMBER(N29),"-","")</f>
      </c>
      <c r="P29" s="43"/>
      <c r="Q29" s="44"/>
      <c r="R29" s="42">
        <f>IF(ISNUMBER(Q29),"-","")</f>
      </c>
      <c r="S29" s="43"/>
      <c r="T29" s="44"/>
      <c r="U29" s="42">
        <f>IF(ISNUMBER(T29),"-","")</f>
      </c>
      <c r="V29" s="43"/>
      <c r="W29" s="44"/>
      <c r="X29" s="42">
        <f>IF(ISNUMBER(W29),"-","")</f>
      </c>
      <c r="Y29" s="43"/>
      <c r="Z29" s="44"/>
      <c r="AA29" s="42">
        <f>IF(ISNUMBER(Z29),"-","")</f>
      </c>
      <c r="AB29" s="43"/>
      <c r="AC29" s="44"/>
      <c r="AD29" s="42">
        <f>IF(ISNUMBER(AC29),"-","")</f>
      </c>
      <c r="AE29" s="43"/>
      <c r="AF29" s="44"/>
      <c r="AG29" s="42">
        <f>IF(ISNUMBER(AF29),"-","")</f>
      </c>
      <c r="AH29" s="43"/>
      <c r="AI29" s="44"/>
      <c r="AJ29" s="42">
        <f>IF(ISNUMBER(AI29),"-","")</f>
      </c>
      <c r="AK29" s="43"/>
      <c r="AL29" s="44"/>
      <c r="AM29" s="42">
        <f>IF(ISNUMBER(AL29),"-","")</f>
      </c>
      <c r="AN29" s="43"/>
      <c r="AO29" s="42"/>
      <c r="AP29" s="18">
        <f>IF(ISNUMBER(AO29),"-","")</f>
      </c>
      <c r="AQ29" s="42"/>
      <c r="AR29" s="44">
        <f>SUM(K29+N29+Q29+T29+W29+Z29+AC29+AF29+AI29+AL29+AO29)</f>
        <v>0</v>
      </c>
      <c r="AS29" s="42" t="str">
        <f>IF(ISNUMBER(AR29),"-","")</f>
        <v>-</v>
      </c>
      <c r="AT29" s="43">
        <f>SUM(M29+P29+S29+V29+Y29+AB29+AE29+AH29+AK29+AN29+AQ29)</f>
        <v>0</v>
      </c>
      <c r="AU29" s="6"/>
      <c r="AV29" t="e">
        <f>CONCATENATE(AY29,A29,AZ29," ",B29," - ",BA29,F29,BB29," ",G29,"  (",C29,"-",E29,") ",K29,M29,"  ",N29,P29,"  ",Q29,S29,"  ",T29,V29,"  ")</f>
        <v>#N/A</v>
      </c>
      <c r="AW29" t="e">
        <f>CONCATENATE(AV29,W29,Y29,"  ",Z29,AB29,"  ",AC29,AE29,"  ",AF29,AH29,"  ",AI29,AJ29,AK29,"  ",AL29,AN29,"  ",AO29,AQ29,"; ",AR29,"-",AT29)</f>
        <v>#N/A</v>
      </c>
      <c r="AY29" t="str">
        <f>IF(AND($C29=0,$E29=0),"--",IF(C29&lt;E29,"[color=#FF0000]",""))</f>
        <v>--</v>
      </c>
      <c r="AZ29" t="str">
        <f>IF(AND($C29=0,$E29=0),"--",IF(C29&lt;E29,"[/color]",""))</f>
        <v>--</v>
      </c>
      <c r="BA29" t="str">
        <f>IF(AND($C29=0,$E29=0),"--",IF(C29&gt;E29,"[color=#FF0000]",""))</f>
        <v>--</v>
      </c>
      <c r="BB29" t="str">
        <f>IF(AND($C29=0,$E29=0),"--",IF(C29&gt;E29,"[/color]",""))</f>
        <v>--</v>
      </c>
    </row>
    <row r="30" spans="1:54" ht="15">
      <c r="A30" s="6">
        <f>'16_4 kaavio'!F51</f>
      </c>
      <c r="B30" s="14" t="e">
        <f>VLOOKUP(A30,Ilmoittautuminen!$B$3:$C$18,2,FALSE)</f>
        <v>#N/A</v>
      </c>
      <c r="C30" s="48">
        <f>'16_4 kaavio'!G51</f>
        <v>0</v>
      </c>
      <c r="D30" s="12" t="s">
        <v>26</v>
      </c>
      <c r="E30" s="48">
        <f>'16_4 kaavio'!G53</f>
        <v>0</v>
      </c>
      <c r="F30" s="6">
        <f>'16_4 kaavio'!F53</f>
      </c>
      <c r="G30" s="14" t="e">
        <f>VLOOKUP(F30,Ilmoittautuminen!$B$3:$C$18,2,FALSE)</f>
        <v>#N/A</v>
      </c>
      <c r="H30" s="32">
        <f>IF(OR(A30="W.O.",F30="W.O."),0,COUNTIF(K30,8)+COUNTIF(N30,8)+COUNTIF(Q30,8)+COUNTIF(T30,8)+COUNTIF(W30,8)+COUNTIF(Z30,8)+COUNTIF(AC30,8)+COUNTIF(AF30,8)+COUNTIF(AI30,8)+COUNTIF(AL30,8)+COUNTIF(AO30,8))</f>
        <v>0</v>
      </c>
      <c r="I30" s="33" t="s">
        <v>26</v>
      </c>
      <c r="J30" s="34">
        <f>IF(OR(A30="W.O.",F30="W.O."),0,COUNTIF(M30,8)+COUNTIF(P30,8)+COUNTIF(S30,8)+COUNTIF(V30,8)+COUNTIF(Y30,8)+COUNTIF(AB30,8)+COUNTIF(AE30,8)+COUNTIF(AH30,8)+COUNTIF(AK30,8)+COUNTIF(AN30,8)+COUNTIF(AQ30,8))</f>
        <v>0</v>
      </c>
      <c r="K30" s="41"/>
      <c r="L30" s="42">
        <f>IF(ISNUMBER(K30),"-","")</f>
      </c>
      <c r="M30" s="43"/>
      <c r="N30" s="44"/>
      <c r="O30" s="42">
        <f>IF(ISNUMBER(N30),"-","")</f>
      </c>
      <c r="P30" s="43"/>
      <c r="Q30" s="44"/>
      <c r="R30" s="42">
        <f>IF(ISNUMBER(Q30),"-","")</f>
      </c>
      <c r="S30" s="43"/>
      <c r="T30" s="44"/>
      <c r="U30" s="42">
        <f>IF(ISNUMBER(T30),"-","")</f>
      </c>
      <c r="V30" s="43"/>
      <c r="W30" s="44"/>
      <c r="X30" s="42">
        <f>IF(ISNUMBER(W30),"-","")</f>
      </c>
      <c r="Y30" s="43"/>
      <c r="Z30" s="44"/>
      <c r="AA30" s="42">
        <f>IF(ISNUMBER(Z30),"-","")</f>
      </c>
      <c r="AB30" s="43"/>
      <c r="AC30" s="44"/>
      <c r="AD30" s="42">
        <f>IF(ISNUMBER(AC30),"-","")</f>
      </c>
      <c r="AE30" s="43"/>
      <c r="AF30" s="44"/>
      <c r="AG30" s="42">
        <f>IF(ISNUMBER(AF30),"-","")</f>
      </c>
      <c r="AH30" s="43"/>
      <c r="AI30" s="44"/>
      <c r="AJ30" s="42">
        <f>IF(ISNUMBER(AI30),"-","")</f>
      </c>
      <c r="AK30" s="43"/>
      <c r="AL30" s="44"/>
      <c r="AM30" s="42">
        <f>IF(ISNUMBER(AL30),"-","")</f>
      </c>
      <c r="AN30" s="43"/>
      <c r="AO30" s="42"/>
      <c r="AP30" s="18">
        <f>IF(ISNUMBER(AO30),"-","")</f>
      </c>
      <c r="AQ30" s="42"/>
      <c r="AR30" s="44">
        <f>SUM(K30+N30+Q30+T30+W30+Z30+AC30+AF30+AI30+AL30+AO30)</f>
        <v>0</v>
      </c>
      <c r="AS30" s="42" t="str">
        <f>IF(ISNUMBER(AR30),"-","")</f>
        <v>-</v>
      </c>
      <c r="AT30" s="43">
        <f>SUM(M30+P30+S30+V30+Y30+AB30+AE30+AH30+AK30+AN30+AQ30)</f>
        <v>0</v>
      </c>
      <c r="AU30" s="6"/>
      <c r="AV30" t="e">
        <f>CONCATENATE(AY30,A30,AZ30," ",B30," - ",BA30,F30,BB30," ",G30,"  (",C30,"-",E30,") ",K30,M30,"  ",N30,P30,"  ",Q30,S30,"  ",T30,V30,"  ")</f>
        <v>#N/A</v>
      </c>
      <c r="AW30" t="e">
        <f>CONCATENATE(AV30,W30,Y30,"  ",Z30,AB30,"  ",AC30,AE30,"  ",AF30,AH30,"  ",AI30,AJ30,AK30,"  ",AL30,AN30,"  ",AO30,AQ30,"; ",AR30,"-",AT30)</f>
        <v>#N/A</v>
      </c>
      <c r="AY30" t="str">
        <f>IF(AND($C30=0,$E30=0),"--",IF(C30&lt;E30,"[color=#FF0000]",""))</f>
        <v>--</v>
      </c>
      <c r="AZ30" t="str">
        <f>IF(AND($C30=0,$E30=0),"--",IF(C30&lt;E30,"[/color]",""))</f>
        <v>--</v>
      </c>
      <c r="BA30" t="str">
        <f>IF(AND($C30=0,$E30=0),"--",IF(C30&gt;E30,"[color=#FF0000]",""))</f>
        <v>--</v>
      </c>
      <c r="BB30" t="str">
        <f>IF(AND($C30=0,$E30=0),"--",IF(C30&gt;E30,"[/color]",""))</f>
        <v>--</v>
      </c>
    </row>
    <row r="31" spans="1:48" ht="15.75" thickBot="1">
      <c r="A31" s="6"/>
      <c r="B31" s="6"/>
      <c r="C31" s="48"/>
      <c r="D31" s="11"/>
      <c r="E31" s="4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52" ht="16.5" thickBot="1">
      <c r="A32" s="7" t="s">
        <v>56</v>
      </c>
      <c r="B32" s="6"/>
      <c r="C32" s="48"/>
      <c r="D32" s="11"/>
      <c r="E32" s="48"/>
      <c r="F32" s="6"/>
      <c r="G32" s="6"/>
      <c r="H32" s="29" t="s">
        <v>23</v>
      </c>
      <c r="I32" s="30"/>
      <c r="J32" s="31"/>
      <c r="K32" s="165" t="s">
        <v>39</v>
      </c>
      <c r="L32" s="166"/>
      <c r="M32" s="166"/>
      <c r="N32" s="166" t="s">
        <v>40</v>
      </c>
      <c r="O32" s="166"/>
      <c r="P32" s="166"/>
      <c r="Q32" s="166" t="s">
        <v>41</v>
      </c>
      <c r="R32" s="166"/>
      <c r="S32" s="166"/>
      <c r="T32" s="166" t="s">
        <v>42</v>
      </c>
      <c r="U32" s="166"/>
      <c r="V32" s="166"/>
      <c r="W32" s="166" t="s">
        <v>43</v>
      </c>
      <c r="X32" s="166"/>
      <c r="Y32" s="166"/>
      <c r="Z32" s="166" t="s">
        <v>44</v>
      </c>
      <c r="AA32" s="166"/>
      <c r="AB32" s="166"/>
      <c r="AC32" s="166" t="s">
        <v>45</v>
      </c>
      <c r="AD32" s="166"/>
      <c r="AE32" s="166"/>
      <c r="AF32" s="166" t="s">
        <v>46</v>
      </c>
      <c r="AG32" s="166"/>
      <c r="AH32" s="166"/>
      <c r="AI32" s="166" t="s">
        <v>47</v>
      </c>
      <c r="AJ32" s="166"/>
      <c r="AK32" s="166"/>
      <c r="AL32" s="166" t="s">
        <v>48</v>
      </c>
      <c r="AM32" s="166"/>
      <c r="AN32" s="166"/>
      <c r="AO32" s="166" t="s">
        <v>49</v>
      </c>
      <c r="AP32" s="166"/>
      <c r="AQ32" s="166"/>
      <c r="AR32" s="166" t="s">
        <v>53</v>
      </c>
      <c r="AS32" s="166"/>
      <c r="AT32" s="166"/>
      <c r="AU32" s="6"/>
      <c r="AV32" t="str">
        <f>A32</f>
        <v>Voittajien puoli 3. Kierros</v>
      </c>
      <c r="AW32" s="16" t="str">
        <f>AY32&amp;A32&amp;AZ32</f>
        <v>[b]Voittajien puoli 3. Kierros[/b]</v>
      </c>
      <c r="AY32" t="s">
        <v>104</v>
      </c>
      <c r="AZ32" t="s">
        <v>105</v>
      </c>
    </row>
    <row r="33" spans="1:54" ht="15">
      <c r="A33" s="6">
        <f>'16_4 kaavio'!O17</f>
      </c>
      <c r="B33" s="14" t="e">
        <f>VLOOKUP(A33,Ilmoittautuminen!$B$3:$C$18,2,FALSE)</f>
        <v>#N/A</v>
      </c>
      <c r="C33" s="48">
        <f>'16_4 kaavio'!P17</f>
        <v>0</v>
      </c>
      <c r="D33" s="12" t="s">
        <v>26</v>
      </c>
      <c r="E33" s="48">
        <f>'16_4 kaavio'!P19</f>
        <v>0</v>
      </c>
      <c r="F33" s="6">
        <f>'16_4 kaavio'!O19</f>
      </c>
      <c r="G33" s="14" t="e">
        <f>VLOOKUP(F33,Ilmoittautuminen!$B$3:$C$18,2,FALSE)</f>
        <v>#N/A</v>
      </c>
      <c r="H33" s="32">
        <f>IF(OR(A33="W.O.",F33="W.O."),0,COUNTIF(K33,8)+COUNTIF(N33,8)+COUNTIF(Q33,8)+COUNTIF(T33,8)+COUNTIF(W33,8)+COUNTIF(Z33,8)+COUNTIF(AC33,8)+COUNTIF(AF33,8)+COUNTIF(AI33,8)+COUNTIF(AL33,8)+COUNTIF(AO33,8))</f>
        <v>0</v>
      </c>
      <c r="I33" s="33" t="s">
        <v>26</v>
      </c>
      <c r="J33" s="34">
        <f>IF(OR(A33="W.O.",F33="W.O."),0,COUNTIF(M33,8)+COUNTIF(P33,8)+COUNTIF(S33,8)+COUNTIF(V33,8)+COUNTIF(Y33,8)+COUNTIF(AB33,8)+COUNTIF(AE33,8)+COUNTIF(AH33,8)+COUNTIF(AK33,8)+COUNTIF(AN33,8)+COUNTIF(AQ33,8))</f>
        <v>0</v>
      </c>
      <c r="K33" s="35"/>
      <c r="L33" s="36">
        <f>IF(ISNUMBER(K33),"-","")</f>
      </c>
      <c r="M33" s="37"/>
      <c r="N33" s="38"/>
      <c r="O33" s="36">
        <f>IF(ISNUMBER(N33),"-","")</f>
      </c>
      <c r="P33" s="37"/>
      <c r="Q33" s="38"/>
      <c r="R33" s="36">
        <f>IF(ISNUMBER(Q33),"-","")</f>
      </c>
      <c r="S33" s="37"/>
      <c r="T33" s="38"/>
      <c r="U33" s="36">
        <f>IF(ISNUMBER(T33),"-","")</f>
      </c>
      <c r="V33" s="37"/>
      <c r="W33" s="38"/>
      <c r="X33" s="36">
        <f>IF(ISNUMBER(W33),"-","")</f>
      </c>
      <c r="Y33" s="37"/>
      <c r="Z33" s="38"/>
      <c r="AA33" s="36">
        <f>IF(ISNUMBER(Z33),"-","")</f>
      </c>
      <c r="AB33" s="37"/>
      <c r="AC33" s="38"/>
      <c r="AD33" s="36">
        <f>IF(ISNUMBER(AC33),"-","")</f>
      </c>
      <c r="AE33" s="37"/>
      <c r="AF33" s="38"/>
      <c r="AG33" s="36">
        <f>IF(ISNUMBER(AF33),"-","")</f>
      </c>
      <c r="AH33" s="37"/>
      <c r="AI33" s="38"/>
      <c r="AJ33" s="36">
        <f>IF(ISNUMBER(AI33),"-","")</f>
      </c>
      <c r="AK33" s="37"/>
      <c r="AL33" s="38"/>
      <c r="AM33" s="36">
        <f>IF(ISNUMBER(AL33),"-","")</f>
      </c>
      <c r="AN33" s="37"/>
      <c r="AO33" s="36"/>
      <c r="AP33" s="39">
        <f>IF(ISNUMBER(AO33),"-","")</f>
      </c>
      <c r="AQ33" s="36"/>
      <c r="AR33" s="38">
        <f>SUM(K33+N33+Q33+T33+W33+Z33+AC33+AF33+AI33+AL33+AO33)</f>
        <v>0</v>
      </c>
      <c r="AS33" s="36" t="str">
        <f>IF(ISNUMBER(AR33),"-","")</f>
        <v>-</v>
      </c>
      <c r="AT33" s="37">
        <f>(M33+P33+S33+V33+Y33+AB33+AE33+AH33+AK33+AN33+AQ33)</f>
        <v>0</v>
      </c>
      <c r="AU33" s="6"/>
      <c r="AV33" t="e">
        <f>CONCATENATE(AY33,A33,AZ33," ",B33," - ",BA33,F33,BB33," ",G33,"  (",C33,"-",E33,") ",K33,M33,"  ",N33,P33,"  ",Q33,S33,"  ",T33,V33,"  ")</f>
        <v>#N/A</v>
      </c>
      <c r="AW33" t="e">
        <f>CONCATENATE(AV33,W33,Y33,"  ",Z33,AB33,"  ",AC33,AE33,"  ",AF33,AH33,"  ",AI33,AJ33,AK33,"  ",AL33,AN33,"  ",AO33,AQ33,"; ",AR33,"-",AT33)</f>
        <v>#N/A</v>
      </c>
      <c r="AY33" t="str">
        <f>IF(AND($C33=0,$E33=0),"--",IF(C33&gt;E33,"[b]",""))</f>
        <v>--</v>
      </c>
      <c r="AZ33" t="str">
        <f>IF(AND($C33=0,$E33=0),"--",IF(C33&gt;E33,"[/b]",""))</f>
        <v>--</v>
      </c>
      <c r="BA33" t="str">
        <f>IF(AND($C33=0,$E33=0),"--",IF(C33&lt;E33,"[b]",""))</f>
        <v>--</v>
      </c>
      <c r="BB33" t="str">
        <f>IF(AND($C33=0,$E33=0),"--",IF(C33&lt;E33,"[/b]",""))</f>
        <v>--</v>
      </c>
    </row>
    <row r="34" spans="1:54" ht="15">
      <c r="A34" s="6">
        <f>'16_4 kaavio'!O45</f>
      </c>
      <c r="B34" s="14" t="e">
        <f>VLOOKUP(A34,Ilmoittautuminen!$B$3:$C$18,2,FALSE)</f>
        <v>#N/A</v>
      </c>
      <c r="C34" s="48">
        <f>'16_4 kaavio'!P45</f>
        <v>0</v>
      </c>
      <c r="D34" s="12" t="s">
        <v>26</v>
      </c>
      <c r="E34" s="48">
        <f>'16_4 kaavio'!P47</f>
        <v>0</v>
      </c>
      <c r="F34" s="6">
        <f>'16_4 kaavio'!O47</f>
      </c>
      <c r="G34" s="14" t="e">
        <f>VLOOKUP(F34,Ilmoittautuminen!$B$3:$C$18,2,FALSE)</f>
        <v>#N/A</v>
      </c>
      <c r="H34" s="32">
        <f>IF(OR(A34="W.O.",F34="W.O."),0,COUNTIF(K34,8)+COUNTIF(N34,8)+COUNTIF(Q34,8)+COUNTIF(T34,8)+COUNTIF(W34,8)+COUNTIF(Z34,8)+COUNTIF(AC34,8)+COUNTIF(AF34,8)+COUNTIF(AI34,8)+COUNTIF(AL34,8)+COUNTIF(AO34,8))</f>
        <v>0</v>
      </c>
      <c r="I34" s="33" t="s">
        <v>26</v>
      </c>
      <c r="J34" s="34">
        <f>IF(OR(A34="W.O.",F34="W.O."),0,COUNTIF(M34,8)+COUNTIF(P34,8)+COUNTIF(S34,8)+COUNTIF(V34,8)+COUNTIF(Y34,8)+COUNTIF(AB34,8)+COUNTIF(AE34,8)+COUNTIF(AH34,8)+COUNTIF(AK34,8)+COUNTIF(AN34,8)+COUNTIF(AQ34,8))</f>
        <v>0</v>
      </c>
      <c r="K34" s="41"/>
      <c r="L34" s="42">
        <f>IF(ISNUMBER(K34),"-","")</f>
      </c>
      <c r="M34" s="43"/>
      <c r="N34" s="44"/>
      <c r="O34" s="42">
        <f>IF(ISNUMBER(N34),"-","")</f>
      </c>
      <c r="P34" s="43"/>
      <c r="Q34" s="44"/>
      <c r="R34" s="42">
        <f>IF(ISNUMBER(Q34),"-","")</f>
      </c>
      <c r="S34" s="43"/>
      <c r="T34" s="44"/>
      <c r="U34" s="42">
        <f>IF(ISNUMBER(T34),"-","")</f>
      </c>
      <c r="V34" s="43"/>
      <c r="W34" s="44"/>
      <c r="X34" s="42">
        <f>IF(ISNUMBER(W34),"-","")</f>
      </c>
      <c r="Y34" s="43"/>
      <c r="Z34" s="44"/>
      <c r="AA34" s="42">
        <f>IF(ISNUMBER(Z34),"-","")</f>
      </c>
      <c r="AB34" s="43"/>
      <c r="AC34" s="44"/>
      <c r="AD34" s="42">
        <f>IF(ISNUMBER(AC34),"-","")</f>
      </c>
      <c r="AE34" s="43"/>
      <c r="AF34" s="44"/>
      <c r="AG34" s="42">
        <f>IF(ISNUMBER(AF34),"-","")</f>
      </c>
      <c r="AH34" s="43"/>
      <c r="AI34" s="44"/>
      <c r="AJ34" s="42">
        <f>IF(ISNUMBER(AI34),"-","")</f>
      </c>
      <c r="AK34" s="43"/>
      <c r="AL34" s="44"/>
      <c r="AM34" s="42">
        <f>IF(ISNUMBER(AL34),"-","")</f>
      </c>
      <c r="AN34" s="43"/>
      <c r="AO34" s="42"/>
      <c r="AP34" s="18">
        <f>IF(ISNUMBER(AO34),"-","")</f>
      </c>
      <c r="AQ34" s="42"/>
      <c r="AR34" s="44">
        <f>SUM(K34+N34+Q34+T34+W34+Z34+AC34+AF34+AI34+AL34+AO34)</f>
        <v>0</v>
      </c>
      <c r="AS34" s="42" t="str">
        <f>IF(ISNUMBER(AR34),"-","")</f>
        <v>-</v>
      </c>
      <c r="AT34" s="43">
        <f>SUM(M34+P34+S34+V34+Y34+AB34+AE34+AH34+AK34+AN34+AQ34)</f>
        <v>0</v>
      </c>
      <c r="AU34" s="6"/>
      <c r="AV34" t="e">
        <f>CONCATENATE(AY34,A34,AZ34," ",B34," - ",BA34,F34,BB34," ",G34,"  (",C34,"-",E34,") ",K34,M34,"  ",N34,P34,"  ",Q34,S34,"  ",T34,V34,"  ")</f>
        <v>#N/A</v>
      </c>
      <c r="AW34" t="e">
        <f>CONCATENATE(AV34,W34,Y34,"  ",Z34,AB34,"  ",AC34,AE34,"  ",AF34,AH34,"  ",AI34,AJ34,AK34,"  ",AL34,AN34,"  ",AO34,AQ34,"; ",AR34,"-",AT34)</f>
        <v>#N/A</v>
      </c>
      <c r="AY34" t="str">
        <f>IF(AND($C34=0,$E34=0),"--",IF(C34&gt;E34,"[b]",""))</f>
        <v>--</v>
      </c>
      <c r="AZ34" t="str">
        <f>IF(AND($C34=0,$E34=0),"--",IF(C34&gt;E34,"[/b]",""))</f>
        <v>--</v>
      </c>
      <c r="BA34" t="str">
        <f>IF(AND($C34=0,$E34=0),"--",IF(C34&lt;E34,"[b]",""))</f>
        <v>--</v>
      </c>
      <c r="BB34" t="str">
        <f>IF(AND($C34=0,$E34=0),"--",IF(C34&lt;E34,"[/b]",""))</f>
        <v>--</v>
      </c>
    </row>
    <row r="35" spans="1:48" ht="15.75" thickBot="1">
      <c r="A35" s="6"/>
      <c r="B35" s="6"/>
      <c r="C35" s="48"/>
      <c r="D35" s="11"/>
      <c r="E35" s="4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52" ht="16.5" thickBot="1">
      <c r="A36" s="7" t="s">
        <v>30</v>
      </c>
      <c r="B36" s="6"/>
      <c r="C36" s="48"/>
      <c r="D36" s="11"/>
      <c r="E36" s="48"/>
      <c r="F36" s="6"/>
      <c r="G36" s="6"/>
      <c r="H36" s="29" t="s">
        <v>23</v>
      </c>
      <c r="I36" s="30"/>
      <c r="J36" s="31"/>
      <c r="K36" s="165" t="s">
        <v>39</v>
      </c>
      <c r="L36" s="166"/>
      <c r="M36" s="166"/>
      <c r="N36" s="166" t="s">
        <v>40</v>
      </c>
      <c r="O36" s="166"/>
      <c r="P36" s="166"/>
      <c r="Q36" s="166" t="s">
        <v>41</v>
      </c>
      <c r="R36" s="166"/>
      <c r="S36" s="166"/>
      <c r="T36" s="166" t="s">
        <v>42</v>
      </c>
      <c r="U36" s="166"/>
      <c r="V36" s="166"/>
      <c r="W36" s="166" t="s">
        <v>43</v>
      </c>
      <c r="X36" s="166"/>
      <c r="Y36" s="166"/>
      <c r="Z36" s="166" t="s">
        <v>44</v>
      </c>
      <c r="AA36" s="166"/>
      <c r="AB36" s="166"/>
      <c r="AC36" s="166" t="s">
        <v>45</v>
      </c>
      <c r="AD36" s="166"/>
      <c r="AE36" s="166"/>
      <c r="AF36" s="166" t="s">
        <v>46</v>
      </c>
      <c r="AG36" s="166"/>
      <c r="AH36" s="166"/>
      <c r="AI36" s="166" t="s">
        <v>47</v>
      </c>
      <c r="AJ36" s="166"/>
      <c r="AK36" s="166"/>
      <c r="AL36" s="166" t="s">
        <v>48</v>
      </c>
      <c r="AM36" s="166"/>
      <c r="AN36" s="166"/>
      <c r="AO36" s="166" t="s">
        <v>49</v>
      </c>
      <c r="AP36" s="166"/>
      <c r="AQ36" s="166"/>
      <c r="AR36" s="166" t="s">
        <v>53</v>
      </c>
      <c r="AS36" s="166"/>
      <c r="AT36" s="166"/>
      <c r="AU36" s="6"/>
      <c r="AV36" t="str">
        <f>A36</f>
        <v>Hävinneiden puoli 4. kierros</v>
      </c>
      <c r="AW36" s="16" t="str">
        <f>AY36&amp;A36&amp;AZ36</f>
        <v>[b]Hävinneiden puoli 4. kierros[/b]</v>
      </c>
      <c r="AY36" t="s">
        <v>104</v>
      </c>
      <c r="AZ36" t="s">
        <v>105</v>
      </c>
    </row>
    <row r="37" spans="1:54" ht="15">
      <c r="A37" s="6">
        <f>'16_4 kaavio'!D17</f>
      </c>
      <c r="B37" s="14" t="e">
        <f>VLOOKUP(A37,Ilmoittautuminen!$B$3:$C$18,2,FALSE)</f>
        <v>#N/A</v>
      </c>
      <c r="C37" s="48">
        <f>'16_4 kaavio'!E17</f>
        <v>0</v>
      </c>
      <c r="D37" s="12" t="s">
        <v>26</v>
      </c>
      <c r="E37" s="48">
        <f>'16_4 kaavio'!E19</f>
        <v>0</v>
      </c>
      <c r="F37" s="6">
        <f>'16_4 kaavio'!D19</f>
      </c>
      <c r="G37" s="14" t="e">
        <f>VLOOKUP(F37,Ilmoittautuminen!$B$3:$C$18,2,FALSE)</f>
        <v>#N/A</v>
      </c>
      <c r="H37" s="32">
        <f>IF(OR(A37="W.O.",F37="W.O."),0,COUNTIF(K37,8)+COUNTIF(N37,8)+COUNTIF(Q37,8)+COUNTIF(T37,8)+COUNTIF(W37,8)+COUNTIF(Z37,8)+COUNTIF(AC37,8)+COUNTIF(AF37,8)+COUNTIF(AI37,8)+COUNTIF(AL37,8)+COUNTIF(AO37,8))</f>
        <v>0</v>
      </c>
      <c r="I37" s="33" t="s">
        <v>26</v>
      </c>
      <c r="J37" s="34">
        <f>IF(OR(A37="W.O.",F37="W.O."),0,COUNTIF(M37,8)+COUNTIF(P37,8)+COUNTIF(S37,8)+COUNTIF(V37,8)+COUNTIF(Y37,8)+COUNTIF(AB37,8)+COUNTIF(AE37,8)+COUNTIF(AH37,8)+COUNTIF(AK37,8)+COUNTIF(AN37,8)+COUNTIF(AQ37,8))</f>
        <v>0</v>
      </c>
      <c r="K37" s="35"/>
      <c r="L37" s="36">
        <f>IF(ISNUMBER(K37),"-","")</f>
      </c>
      <c r="M37" s="37"/>
      <c r="N37" s="38"/>
      <c r="O37" s="36">
        <f>IF(ISNUMBER(N37),"-","")</f>
      </c>
      <c r="P37" s="37"/>
      <c r="Q37" s="38"/>
      <c r="R37" s="36">
        <f>IF(ISNUMBER(Q37),"-","")</f>
      </c>
      <c r="S37" s="37"/>
      <c r="T37" s="38"/>
      <c r="U37" s="36">
        <f>IF(ISNUMBER(T37),"-","")</f>
      </c>
      <c r="V37" s="37"/>
      <c r="W37" s="38"/>
      <c r="X37" s="36">
        <f>IF(ISNUMBER(W37),"-","")</f>
      </c>
      <c r="Y37" s="37"/>
      <c r="Z37" s="38"/>
      <c r="AA37" s="36">
        <f>IF(ISNUMBER(Z37),"-","")</f>
      </c>
      <c r="AB37" s="37"/>
      <c r="AC37" s="38"/>
      <c r="AD37" s="36">
        <f>IF(ISNUMBER(AC37),"-","")</f>
      </c>
      <c r="AE37" s="37"/>
      <c r="AF37" s="38"/>
      <c r="AG37" s="36">
        <f>IF(ISNUMBER(AF37),"-","")</f>
      </c>
      <c r="AH37" s="37"/>
      <c r="AI37" s="38"/>
      <c r="AJ37" s="36">
        <f>IF(ISNUMBER(AI37),"-","")</f>
      </c>
      <c r="AK37" s="37"/>
      <c r="AL37" s="38"/>
      <c r="AM37" s="36">
        <f>IF(ISNUMBER(AL37),"-","")</f>
      </c>
      <c r="AN37" s="37"/>
      <c r="AO37" s="36"/>
      <c r="AP37" s="39">
        <f>IF(ISNUMBER(AO37),"-","")</f>
      </c>
      <c r="AQ37" s="36"/>
      <c r="AR37" s="38">
        <f>SUM(K37+N37+Q37+T37+W37+Z37+AC37+AF37+AI37+AL37+AO37)</f>
        <v>0</v>
      </c>
      <c r="AS37" s="36" t="str">
        <f>IF(ISNUMBER(AR37),"-","")</f>
        <v>-</v>
      </c>
      <c r="AT37" s="37">
        <f>(M37+P37+S37+V37+Y37+AB37+AE37+AH37+AK37+AN37+AQ37)</f>
        <v>0</v>
      </c>
      <c r="AU37" s="6"/>
      <c r="AV37" t="e">
        <f>CONCATENATE(AY37,A37,AZ37," ",B37," - ",BA37,F37,BB37," ",G37,"  (",C37,"-",E37,") ",K37,M37,"  ",N37,P37,"  ",Q37,S37,"  ",T37,V37,"  ")</f>
        <v>#N/A</v>
      </c>
      <c r="AW37" t="e">
        <f>CONCATENATE(AV37,W37,Y37,"  ",Z37,AB37,"  ",AC37,AE37,"  ",AF37,AH37,"  ",AI37,AJ37,AK37,"  ",AL37,AN37,"  ",AO37,AQ37,"; ",AR37,"-",AT37)</f>
        <v>#N/A</v>
      </c>
      <c r="AY37" t="str">
        <f>IF(AND($C37=0,$E37=0),"--",IF(C37&lt;E37,"[color=#FF0000]",""))</f>
        <v>--</v>
      </c>
      <c r="AZ37" t="str">
        <f>IF(AND($C37=0,$E37=0),"--",IF(C37&lt;E37,"[/color]",""))</f>
        <v>--</v>
      </c>
      <c r="BA37" t="str">
        <f>IF(AND($C37=0,$E37=0),"--",IF(C37&gt;E37,"[color=#FF0000]",""))</f>
        <v>--</v>
      </c>
      <c r="BB37" t="str">
        <f>IF(AND($C37=0,$E37=0),"--",IF(C37&gt;E37,"[/color]",""))</f>
        <v>--</v>
      </c>
    </row>
    <row r="38" spans="1:54" ht="15">
      <c r="A38" s="6">
        <f>'16_4 kaavio'!D45</f>
      </c>
      <c r="B38" s="14" t="e">
        <f>VLOOKUP(A38,Ilmoittautuminen!$B$3:$C$18,2,FALSE)</f>
        <v>#N/A</v>
      </c>
      <c r="C38" s="48">
        <f>'16_4 kaavio'!E45</f>
        <v>0</v>
      </c>
      <c r="D38" s="12" t="s">
        <v>26</v>
      </c>
      <c r="E38" s="48">
        <f>'16_4 kaavio'!E47</f>
        <v>0</v>
      </c>
      <c r="F38" s="6">
        <f>'16_4 kaavio'!D47</f>
      </c>
      <c r="G38" s="14" t="e">
        <f>VLOOKUP(F38,Ilmoittautuminen!$B$3:$C$18,2,FALSE)</f>
        <v>#N/A</v>
      </c>
      <c r="H38" s="32">
        <f>IF(OR(A38="W.O.",F38="W.O."),0,COUNTIF(K38,8)+COUNTIF(N38,8)+COUNTIF(Q38,8)+COUNTIF(T38,8)+COUNTIF(W38,8)+COUNTIF(Z38,8)+COUNTIF(AC38,8)+COUNTIF(AF38,8)+COUNTIF(AI38,8)+COUNTIF(AL38,8)+COUNTIF(AO38,8))</f>
        <v>0</v>
      </c>
      <c r="I38" s="33" t="s">
        <v>26</v>
      </c>
      <c r="J38" s="34">
        <f>IF(OR(A38="W.O.",F38="W.O."),0,COUNTIF(M38,8)+COUNTIF(P38,8)+COUNTIF(S38,8)+COUNTIF(V38,8)+COUNTIF(Y38,8)+COUNTIF(AB38,8)+COUNTIF(AE38,8)+COUNTIF(AH38,8)+COUNTIF(AK38,8)+COUNTIF(AN38,8)+COUNTIF(AQ38,8))</f>
        <v>0</v>
      </c>
      <c r="K38" s="41"/>
      <c r="L38" s="42">
        <f>IF(ISNUMBER(K38),"-","")</f>
      </c>
      <c r="M38" s="43"/>
      <c r="N38" s="44"/>
      <c r="O38" s="42">
        <f>IF(ISNUMBER(N38),"-","")</f>
      </c>
      <c r="P38" s="43"/>
      <c r="Q38" s="44"/>
      <c r="R38" s="42">
        <f>IF(ISNUMBER(Q38),"-","")</f>
      </c>
      <c r="S38" s="43"/>
      <c r="T38" s="44"/>
      <c r="U38" s="42">
        <f>IF(ISNUMBER(T38),"-","")</f>
      </c>
      <c r="V38" s="43"/>
      <c r="W38" s="44"/>
      <c r="X38" s="42">
        <f>IF(ISNUMBER(W38),"-","")</f>
      </c>
      <c r="Y38" s="43"/>
      <c r="Z38" s="44"/>
      <c r="AA38" s="42">
        <f>IF(ISNUMBER(Z38),"-","")</f>
      </c>
      <c r="AB38" s="43"/>
      <c r="AC38" s="44"/>
      <c r="AD38" s="42">
        <f>IF(ISNUMBER(AC38),"-","")</f>
      </c>
      <c r="AE38" s="43"/>
      <c r="AF38" s="44"/>
      <c r="AG38" s="42">
        <f>IF(ISNUMBER(AF38),"-","")</f>
      </c>
      <c r="AH38" s="43"/>
      <c r="AI38" s="44"/>
      <c r="AJ38" s="42">
        <f>IF(ISNUMBER(AI38),"-","")</f>
      </c>
      <c r="AK38" s="43"/>
      <c r="AL38" s="44"/>
      <c r="AM38" s="42">
        <f>IF(ISNUMBER(AL38),"-","")</f>
      </c>
      <c r="AN38" s="43"/>
      <c r="AO38" s="42"/>
      <c r="AP38" s="18">
        <f>IF(ISNUMBER(AO38),"-","")</f>
      </c>
      <c r="AQ38" s="42"/>
      <c r="AR38" s="44">
        <f>SUM(K38+N38+Q38+T38+W38+Z38+AC38+AF38+AI38+AL38+AO38)</f>
        <v>0</v>
      </c>
      <c r="AS38" s="42" t="str">
        <f>IF(ISNUMBER(AR38),"-","")</f>
        <v>-</v>
      </c>
      <c r="AT38" s="43">
        <f>SUM(M38+P38+S38+V38+Y38+AB38+AE38+AH38+AK38+AN38+AQ38)</f>
        <v>0</v>
      </c>
      <c r="AU38" s="6"/>
      <c r="AV38" t="e">
        <f>CONCATENATE(AY38,A38,AZ38," ",B38," - ",BA38,F38,BB38," ",G38,"  (",C38,"-",E38,") ",K38,M38,"  ",N38,P38,"  ",Q38,S38,"  ",T38,V38,"  ")</f>
        <v>#N/A</v>
      </c>
      <c r="AW38" t="e">
        <f>CONCATENATE(AV38,W38,Y38,"  ",Z38,AB38,"  ",AC38,AE38,"  ",AF38,AH38,"  ",AI38,AJ38,AK38,"  ",AL38,AN38,"  ",AO38,AQ38,"; ",AR38,"-",AT38)</f>
        <v>#N/A</v>
      </c>
      <c r="AY38" t="str">
        <f>IF(AND($C38=0,$E38=0),"--",IF(C38&lt;E38,"[color=#FF0000]",""))</f>
        <v>--</v>
      </c>
      <c r="AZ38" t="str">
        <f>IF(AND($C38=0,$E38=0),"--",IF(C38&lt;E38,"[/color]",""))</f>
        <v>--</v>
      </c>
      <c r="BA38" t="str">
        <f>IF(AND($C38=0,$E38=0),"--",IF(C38&gt;E38,"[color=#FF0000]",""))</f>
        <v>--</v>
      </c>
      <c r="BB38" t="str">
        <f>IF(AND($C38=0,$E38=0),"--",IF(C38&gt;E38,"[/color]",""))</f>
        <v>--</v>
      </c>
    </row>
    <row r="39" spans="1:48" ht="15.75" thickBot="1">
      <c r="A39" s="6"/>
      <c r="B39" s="6"/>
      <c r="C39" s="48"/>
      <c r="D39" s="6"/>
      <c r="E39" s="4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52" ht="16.5" thickBot="1">
      <c r="A40" s="7" t="s">
        <v>57</v>
      </c>
      <c r="B40" s="7"/>
      <c r="C40" s="49"/>
      <c r="D40" s="15"/>
      <c r="E40" s="49"/>
      <c r="F40" s="7"/>
      <c r="G40" s="7"/>
      <c r="H40" s="29" t="s">
        <v>23</v>
      </c>
      <c r="I40" s="30"/>
      <c r="J40" s="31"/>
      <c r="K40" s="165" t="s">
        <v>39</v>
      </c>
      <c r="L40" s="166"/>
      <c r="M40" s="166"/>
      <c r="N40" s="166" t="s">
        <v>40</v>
      </c>
      <c r="O40" s="166"/>
      <c r="P40" s="166"/>
      <c r="Q40" s="166" t="s">
        <v>41</v>
      </c>
      <c r="R40" s="166"/>
      <c r="S40" s="166"/>
      <c r="T40" s="166" t="s">
        <v>42</v>
      </c>
      <c r="U40" s="166"/>
      <c r="V40" s="166"/>
      <c r="W40" s="166" t="s">
        <v>43</v>
      </c>
      <c r="X40" s="166"/>
      <c r="Y40" s="166"/>
      <c r="Z40" s="166" t="s">
        <v>44</v>
      </c>
      <c r="AA40" s="166"/>
      <c r="AB40" s="166"/>
      <c r="AC40" s="166" t="s">
        <v>45</v>
      </c>
      <c r="AD40" s="166"/>
      <c r="AE40" s="166"/>
      <c r="AF40" s="166" t="s">
        <v>46</v>
      </c>
      <c r="AG40" s="166"/>
      <c r="AH40" s="166"/>
      <c r="AI40" s="166" t="s">
        <v>47</v>
      </c>
      <c r="AJ40" s="166"/>
      <c r="AK40" s="166"/>
      <c r="AL40" s="166" t="s">
        <v>48</v>
      </c>
      <c r="AM40" s="166"/>
      <c r="AN40" s="166"/>
      <c r="AO40" s="166" t="s">
        <v>49</v>
      </c>
      <c r="AP40" s="166"/>
      <c r="AQ40" s="166"/>
      <c r="AR40" s="166" t="s">
        <v>53</v>
      </c>
      <c r="AS40" s="166"/>
      <c r="AT40" s="166"/>
      <c r="AU40" s="7"/>
      <c r="AV40" t="str">
        <f>A40</f>
        <v>Hävinneiden puoli 5. kierros</v>
      </c>
      <c r="AW40" s="16" t="str">
        <f>AY40&amp;A40&amp;AZ40</f>
        <v>[b]Hävinneiden puoli 5. kierros[/b]</v>
      </c>
      <c r="AY40" t="s">
        <v>104</v>
      </c>
      <c r="AZ40" t="s">
        <v>105</v>
      </c>
    </row>
    <row r="41" spans="1:54" ht="15">
      <c r="A41" s="6">
        <f>'16_4 kaavio'!B17</f>
      </c>
      <c r="B41" s="14" t="e">
        <f>VLOOKUP(A41,Ilmoittautuminen!$B$3:$C$18,2,FALSE)</f>
        <v>#N/A</v>
      </c>
      <c r="C41" s="48">
        <f>'16_4 kaavio'!C17</f>
        <v>0</v>
      </c>
      <c r="D41" s="12" t="s">
        <v>26</v>
      </c>
      <c r="E41" s="48">
        <f>'16_4 kaavio'!C19</f>
        <v>0</v>
      </c>
      <c r="F41" s="6">
        <f>'16_4 kaavio'!B19</f>
      </c>
      <c r="G41" s="14" t="e">
        <f>VLOOKUP(F41,Ilmoittautuminen!$B$3:$C$18,2,FALSE)</f>
        <v>#N/A</v>
      </c>
      <c r="H41" s="32">
        <f>IF(OR(A41="W.O.",F41="W.O."),0,COUNTIF(K41,8)+COUNTIF(N41,8)+COUNTIF(Q41,8)+COUNTIF(T41,8)+COUNTIF(W41,8)+COUNTIF(Z41,8)+COUNTIF(AC41,8)+COUNTIF(AF41,8)+COUNTIF(AI41,8)+COUNTIF(AL41,8)+COUNTIF(AO41,8))</f>
        <v>0</v>
      </c>
      <c r="I41" s="33" t="s">
        <v>26</v>
      </c>
      <c r="J41" s="34">
        <f>IF(OR(A41="W.O.",F41="W.O."),0,COUNTIF(M41,8)+COUNTIF(P41,8)+COUNTIF(S41,8)+COUNTIF(V41,8)+COUNTIF(Y41,8)+COUNTIF(AB41,8)+COUNTIF(AE41,8)+COUNTIF(AH41,8)+COUNTIF(AK41,8)+COUNTIF(AN41,8)+COUNTIF(AQ41,8))</f>
        <v>0</v>
      </c>
      <c r="K41" s="35"/>
      <c r="L41" s="36">
        <f>IF(ISNUMBER(K41),"-","")</f>
      </c>
      <c r="M41" s="37"/>
      <c r="N41" s="38"/>
      <c r="O41" s="36">
        <f>IF(ISNUMBER(N41),"-","")</f>
      </c>
      <c r="P41" s="37"/>
      <c r="Q41" s="38"/>
      <c r="R41" s="36">
        <f>IF(ISNUMBER(Q41),"-","")</f>
      </c>
      <c r="S41" s="37"/>
      <c r="T41" s="38"/>
      <c r="U41" s="36">
        <f>IF(ISNUMBER(T41),"-","")</f>
      </c>
      <c r="V41" s="37"/>
      <c r="W41" s="38"/>
      <c r="X41" s="36">
        <f>IF(ISNUMBER(W41),"-","")</f>
      </c>
      <c r="Y41" s="37"/>
      <c r="Z41" s="38"/>
      <c r="AA41" s="36">
        <f>IF(ISNUMBER(Z41),"-","")</f>
      </c>
      <c r="AB41" s="37"/>
      <c r="AC41" s="38"/>
      <c r="AD41" s="36">
        <f>IF(ISNUMBER(AC41),"-","")</f>
      </c>
      <c r="AE41" s="37"/>
      <c r="AF41" s="38"/>
      <c r="AG41" s="36">
        <f>IF(ISNUMBER(AF41),"-","")</f>
      </c>
      <c r="AH41" s="37"/>
      <c r="AI41" s="38"/>
      <c r="AJ41" s="36">
        <f>IF(ISNUMBER(AI41),"-","")</f>
      </c>
      <c r="AK41" s="37"/>
      <c r="AL41" s="38"/>
      <c r="AM41" s="36">
        <f>IF(ISNUMBER(AL41),"-","")</f>
      </c>
      <c r="AN41" s="37"/>
      <c r="AO41" s="36"/>
      <c r="AP41" s="36">
        <f>IF(ISNUMBER(AO41),"-","")</f>
      </c>
      <c r="AQ41" s="36"/>
      <c r="AR41" s="38">
        <f>SUM(K41+N41+Q41+T41+W41+Z41+AC41+AF41+AI41+AL41+AO41)</f>
        <v>0</v>
      </c>
      <c r="AS41" s="36" t="str">
        <f>IF(ISNUMBER(AR41),"-","")</f>
        <v>-</v>
      </c>
      <c r="AT41" s="37">
        <f>(M41+P41+S41+V41+Y41+AB41+AE41+AH41+AK41+AN41+AQ41)</f>
        <v>0</v>
      </c>
      <c r="AU41" s="6"/>
      <c r="AV41" t="e">
        <f>CONCATENATE(AY41,A41,AZ41," ",B41," - ",BA41,F41,BB41," ",G41,"  (",C41,"-",E41,") ",K41,M41,"  ",N41,P41,"  ",Q41,S41,"  ",T41,V41,"  ")</f>
        <v>#N/A</v>
      </c>
      <c r="AW41" t="e">
        <f>CONCATENATE(AV41,W41,Y41,"  ",Z41,AB41,"  ",AC41,AE41,"  ",AF41,AH41,"  ",AI41,AJ41,AK41,"  ",AL41,AN41,"  ",AO41,AQ41,"; ",AR41,"-",AT41)</f>
        <v>#N/A</v>
      </c>
      <c r="AY41" t="str">
        <f>IF(AND($C41=0,$E41=0),"--",IF(C41&lt;E41,"[color=#FF0000]",""))</f>
        <v>--</v>
      </c>
      <c r="AZ41" t="str">
        <f>IF(AND($C41=0,$E41=0),"--",IF(C41&lt;E41,"[/color]",""))</f>
        <v>--</v>
      </c>
      <c r="BA41" t="str">
        <f>IF(AND($C41=0,$E41=0),"--",IF(C41&gt;E41,"[color=#FF0000]",""))</f>
        <v>--</v>
      </c>
      <c r="BB41" t="str">
        <f>IF(AND($C41=0,$E41=0),"--",IF(C41&gt;E41,"[/color]",""))</f>
        <v>--</v>
      </c>
    </row>
    <row r="42" spans="1:54" ht="15">
      <c r="A42" s="6">
        <f>'16_4 kaavio'!B45</f>
      </c>
      <c r="B42" s="14" t="e">
        <f>VLOOKUP(A42,Ilmoittautuminen!$B$3:$C$18,2,FALSE)</f>
        <v>#N/A</v>
      </c>
      <c r="C42" s="48">
        <f>'16_4 kaavio'!C45</f>
        <v>0</v>
      </c>
      <c r="D42" s="12" t="s">
        <v>26</v>
      </c>
      <c r="E42" s="48">
        <f>'16_4 kaavio'!C47</f>
        <v>0</v>
      </c>
      <c r="F42" s="6">
        <f>'16_4 kaavio'!B47</f>
      </c>
      <c r="G42" s="14" t="e">
        <f>VLOOKUP(F42,Ilmoittautuminen!$B$3:$C$18,2,FALSE)</f>
        <v>#N/A</v>
      </c>
      <c r="H42" s="32">
        <f>IF(OR(A42="W.O.",F42="W.O."),0,COUNTIF(K42,8)+COUNTIF(N42,8)+COUNTIF(Q42,8)+COUNTIF(T42,8)+COUNTIF(W42,8)+COUNTIF(Z42,8)+COUNTIF(AC42,8)+COUNTIF(AF42,8)+COUNTIF(AI42,8)+COUNTIF(AL42,8)+COUNTIF(AO42,8))</f>
        <v>0</v>
      </c>
      <c r="I42" s="33" t="s">
        <v>26</v>
      </c>
      <c r="J42" s="34">
        <f>IF(OR(A42="W.O.",F42="W.O."),0,COUNTIF(M42,8)+COUNTIF(P42,8)+COUNTIF(S42,8)+COUNTIF(V42,8)+COUNTIF(Y42,8)+COUNTIF(AB42,8)+COUNTIF(AE42,8)+COUNTIF(AH42,8)+COUNTIF(AK42,8)+COUNTIF(AN42,8)+COUNTIF(AQ42,8))</f>
        <v>0</v>
      </c>
      <c r="K42" s="41"/>
      <c r="L42" s="42">
        <f>IF(ISNUMBER(K42),"-","")</f>
      </c>
      <c r="M42" s="43"/>
      <c r="N42" s="44"/>
      <c r="O42" s="42">
        <f>IF(ISNUMBER(N42),"-","")</f>
      </c>
      <c r="P42" s="43"/>
      <c r="Q42" s="44"/>
      <c r="R42" s="42">
        <f>IF(ISNUMBER(Q42),"-","")</f>
      </c>
      <c r="S42" s="43"/>
      <c r="T42" s="44"/>
      <c r="U42" s="42">
        <f>IF(ISNUMBER(T42),"-","")</f>
      </c>
      <c r="V42" s="43"/>
      <c r="W42" s="44"/>
      <c r="X42" s="42">
        <f>IF(ISNUMBER(W42),"-","")</f>
      </c>
      <c r="Y42" s="43"/>
      <c r="Z42" s="44"/>
      <c r="AA42" s="42">
        <f>IF(ISNUMBER(Z42),"-","")</f>
      </c>
      <c r="AB42" s="43"/>
      <c r="AC42" s="44"/>
      <c r="AD42" s="42">
        <f>IF(ISNUMBER(AC42),"-","")</f>
      </c>
      <c r="AE42" s="43"/>
      <c r="AF42" s="44"/>
      <c r="AG42" s="42">
        <f>IF(ISNUMBER(AF42),"-","")</f>
      </c>
      <c r="AH42" s="43"/>
      <c r="AI42" s="44"/>
      <c r="AJ42" s="42">
        <f>IF(ISNUMBER(AI42),"-","")</f>
      </c>
      <c r="AK42" s="43"/>
      <c r="AL42" s="44"/>
      <c r="AM42" s="42">
        <f>IF(ISNUMBER(AL42),"-","")</f>
      </c>
      <c r="AN42" s="43"/>
      <c r="AO42" s="42"/>
      <c r="AP42" s="42">
        <f>IF(ISNUMBER(AO42),"-","")</f>
      </c>
      <c r="AQ42" s="42"/>
      <c r="AR42" s="44">
        <f>SUM(K42+N42+Q42+T42+W42+Z42+AC42+AF42+AI42+AL42+AO42)</f>
        <v>0</v>
      </c>
      <c r="AS42" s="42" t="str">
        <f>IF(ISNUMBER(AR42),"-","")</f>
        <v>-</v>
      </c>
      <c r="AT42" s="43">
        <f>SUM(M42+P42+S42+V42+Y42+AB42+AE42+AH42+AK42+AN42+AQ42)</f>
        <v>0</v>
      </c>
      <c r="AU42" s="6"/>
      <c r="AV42" t="e">
        <f>CONCATENATE(AY42,A42,AZ42," ",B42," - ",BA42,F42,BB42," ",G42,"  (",C42,"-",E42,") ",K42,M42,"  ",N42,P42,"  ",Q42,S42,"  ",T42,V42,"  ")</f>
        <v>#N/A</v>
      </c>
      <c r="AW42" t="e">
        <f>CONCATENATE(AV42,W42,Y42,"  ",Z42,AB42,"  ",AC42,AE42,"  ",AF42,AH42,"  ",AI42,AJ42,AK42,"  ",AL42,AN42,"  ",AO42,AQ42,"; ",AR42,"-",AT42)</f>
        <v>#N/A</v>
      </c>
      <c r="AY42" t="str">
        <f>IF(AND($C42=0,$E42=0),"--",IF(C42&lt;E42,"[color=#FF0000]",""))</f>
        <v>--</v>
      </c>
      <c r="AZ42" t="str">
        <f>IF(AND($C42=0,$E42=0),"--",IF(C42&lt;E42,"[/color]",""))</f>
        <v>--</v>
      </c>
      <c r="BA42" t="str">
        <f>IF(AND($C42=0,$E42=0),"--",IF(C42&gt;E42,"[color=#FF0000]",""))</f>
        <v>--</v>
      </c>
      <c r="BB42" t="str">
        <f>IF(AND($C42=0,$E42=0),"--",IF(C42&gt;E42,"[/color]",""))</f>
        <v>--</v>
      </c>
    </row>
    <row r="43" spans="1:48" ht="15.75" thickBot="1">
      <c r="A43" s="6"/>
      <c r="B43" s="6"/>
      <c r="C43" s="48"/>
      <c r="D43" s="6"/>
      <c r="E43" s="4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52" ht="16.5" thickBot="1">
      <c r="A44" s="7" t="s">
        <v>21</v>
      </c>
      <c r="B44" s="6"/>
      <c r="C44" s="48"/>
      <c r="D44" s="6"/>
      <c r="E44" s="48"/>
      <c r="F44" s="6"/>
      <c r="G44" s="6"/>
      <c r="H44" s="29" t="s">
        <v>23</v>
      </c>
      <c r="I44" s="30"/>
      <c r="J44" s="31"/>
      <c r="K44" s="165" t="s">
        <v>39</v>
      </c>
      <c r="L44" s="166"/>
      <c r="M44" s="166"/>
      <c r="N44" s="166" t="s">
        <v>40</v>
      </c>
      <c r="O44" s="166"/>
      <c r="P44" s="166"/>
      <c r="Q44" s="166" t="s">
        <v>41</v>
      </c>
      <c r="R44" s="166"/>
      <c r="S44" s="166"/>
      <c r="T44" s="166" t="s">
        <v>42</v>
      </c>
      <c r="U44" s="166"/>
      <c r="V44" s="166"/>
      <c r="W44" s="166" t="s">
        <v>43</v>
      </c>
      <c r="X44" s="166"/>
      <c r="Y44" s="166"/>
      <c r="Z44" s="166" t="s">
        <v>44</v>
      </c>
      <c r="AA44" s="166"/>
      <c r="AB44" s="166"/>
      <c r="AC44" s="166" t="s">
        <v>45</v>
      </c>
      <c r="AD44" s="166"/>
      <c r="AE44" s="166"/>
      <c r="AF44" s="166" t="s">
        <v>46</v>
      </c>
      <c r="AG44" s="166"/>
      <c r="AH44" s="166"/>
      <c r="AI44" s="166" t="s">
        <v>47</v>
      </c>
      <c r="AJ44" s="166"/>
      <c r="AK44" s="166"/>
      <c r="AL44" s="166" t="s">
        <v>48</v>
      </c>
      <c r="AM44" s="166"/>
      <c r="AN44" s="166"/>
      <c r="AO44" s="166" t="s">
        <v>49</v>
      </c>
      <c r="AP44" s="166"/>
      <c r="AQ44" s="166"/>
      <c r="AR44" s="166" t="s">
        <v>53</v>
      </c>
      <c r="AS44" s="166"/>
      <c r="AT44" s="166"/>
      <c r="AU44" s="6"/>
      <c r="AV44" t="str">
        <f>A44</f>
        <v>1/2 finaali</v>
      </c>
      <c r="AW44" s="16" t="str">
        <f>AY44&amp;A44&amp;AZ44</f>
        <v>[b]1/2 finaali[/b]</v>
      </c>
      <c r="AY44" t="s">
        <v>104</v>
      </c>
      <c r="AZ44" t="s">
        <v>105</v>
      </c>
    </row>
    <row r="45" spans="1:54" ht="15">
      <c r="A45" s="6">
        <f>'16_4 kaavio'!B26</f>
      </c>
      <c r="B45" s="14" t="e">
        <f>VLOOKUP(A45,Ilmoittautuminen!$B$3:$C$18,2,FALSE)</f>
        <v>#N/A</v>
      </c>
      <c r="C45" s="48">
        <f>'16_4 kaavio'!C26</f>
        <v>0</v>
      </c>
      <c r="D45" s="12" t="s">
        <v>26</v>
      </c>
      <c r="E45" s="48">
        <f>'16_4 kaavio'!C28</f>
        <v>0</v>
      </c>
      <c r="F45" s="6">
        <f>'16_4 kaavio'!B28</f>
      </c>
      <c r="G45" s="14" t="e">
        <f>VLOOKUP(F45,Ilmoittautuminen!$B$3:$C$18,2,FALSE)</f>
        <v>#N/A</v>
      </c>
      <c r="H45" s="32">
        <f>IF(OR(A45="W.O.",F45="W.O."),0,COUNTIF(K45,8)+COUNTIF(N45,8)+COUNTIF(Q45,8)+COUNTIF(T45,8)+COUNTIF(W45,8)+COUNTIF(Z45,8)+COUNTIF(AC45,8)+COUNTIF(AF45,8)+COUNTIF(AI45,8)+COUNTIF(AL45,8)+COUNTIF(AO45,8))</f>
        <v>0</v>
      </c>
      <c r="I45" s="33" t="s">
        <v>26</v>
      </c>
      <c r="J45" s="34">
        <f>IF(OR(A45="W.O.",F45="W.O."),0,COUNTIF(M45,8)+COUNTIF(P45,8)+COUNTIF(S45,8)+COUNTIF(V45,8)+COUNTIF(Y45,8)+COUNTIF(AB45,8)+COUNTIF(AE45,8)+COUNTIF(AH45,8)+COUNTIF(AK45,8)+COUNTIF(AN45,8)+COUNTIF(AQ45,8))</f>
        <v>0</v>
      </c>
      <c r="K45" s="35"/>
      <c r="L45" s="36">
        <f>IF(ISNUMBER(K45),"-","")</f>
      </c>
      <c r="M45" s="37"/>
      <c r="N45" s="38"/>
      <c r="O45" s="36">
        <f>IF(ISNUMBER(N45),"-","")</f>
      </c>
      <c r="P45" s="37"/>
      <c r="Q45" s="38"/>
      <c r="R45" s="36">
        <f>IF(ISNUMBER(Q45),"-","")</f>
      </c>
      <c r="S45" s="37"/>
      <c r="T45" s="38"/>
      <c r="U45" s="36">
        <f>IF(ISNUMBER(T45),"-","")</f>
      </c>
      <c r="V45" s="37"/>
      <c r="W45" s="38"/>
      <c r="X45" s="36">
        <f>IF(ISNUMBER(W45),"-","")</f>
      </c>
      <c r="Y45" s="37"/>
      <c r="Z45" s="38"/>
      <c r="AA45" s="36">
        <f>IF(ISNUMBER(Z45),"-","")</f>
      </c>
      <c r="AB45" s="37"/>
      <c r="AC45" s="38"/>
      <c r="AD45" s="36">
        <f>IF(ISNUMBER(AC45),"-","")</f>
      </c>
      <c r="AE45" s="37"/>
      <c r="AF45" s="38"/>
      <c r="AG45" s="36">
        <f>IF(ISNUMBER(AF45),"-","")</f>
      </c>
      <c r="AH45" s="37"/>
      <c r="AI45" s="38"/>
      <c r="AJ45" s="36">
        <f>IF(ISNUMBER(AI45),"-","")</f>
      </c>
      <c r="AK45" s="37"/>
      <c r="AL45" s="38"/>
      <c r="AM45" s="36">
        <f>IF(ISNUMBER(AL45),"-","")</f>
      </c>
      <c r="AN45" s="37"/>
      <c r="AO45" s="36"/>
      <c r="AP45" s="39">
        <f>IF(ISNUMBER(AO45),"-","")</f>
      </c>
      <c r="AQ45" s="36"/>
      <c r="AR45" s="38">
        <f>SUM(K45+N45+Q45+T45+W45+Z45+AC45+AF45+AI45+AL45+AO45)</f>
        <v>0</v>
      </c>
      <c r="AS45" s="36" t="str">
        <f>IF(ISNUMBER(AR45),"-","")</f>
        <v>-</v>
      </c>
      <c r="AT45" s="37">
        <f>(M45+P45+S45+V45+Y45+AB45+AE45+AH45+AK45+AN45+AQ45)</f>
        <v>0</v>
      </c>
      <c r="AU45" s="6"/>
      <c r="AV45" t="e">
        <f>CONCATENATE(AY45,A45,AZ45," ",B45," - ",BA45,F45,BB45," ",G45,"  (",C45,"-",E45,") ",K45,M45,"  ",N45,P45,"  ",Q45,S45,"  ",T45,V45,"  ")</f>
        <v>#N/A</v>
      </c>
      <c r="AW45" t="e">
        <f>CONCATENATE(AV45,W45,Y45,"  ",Z45,AB45,"  ",AC45,AE45,"  ",AF45,AH45,"  ",AI45,AJ45,AK45,"  ",AL45,AN45,"  ",AO45,AQ45,"; ",AR45,"-",AT45)</f>
        <v>#N/A</v>
      </c>
      <c r="AY45" t="str">
        <f>IF(AND($C45=0,$E45=0),"--",IF(C45&gt;E45,"[b]","[color=#FF0000]"))</f>
        <v>--</v>
      </c>
      <c r="AZ45" t="str">
        <f>IF(AND($C45=0,$E45=0),"--",IF(C45&gt;E45,"[/b]","[/color]"))</f>
        <v>--</v>
      </c>
      <c r="BA45" t="str">
        <f>IF(AND($C45=0,$E45=0),"--",IF(C45&lt;E45,"[b]","[color=#FF0000]"))</f>
        <v>--</v>
      </c>
      <c r="BB45" t="str">
        <f>IF(AND($C45=0,$E45=0),"--",IF(C45&lt;E45,"[/b]","[/color]"))</f>
        <v>--</v>
      </c>
    </row>
    <row r="46" spans="1:54" ht="15">
      <c r="A46" s="6">
        <f>'16_4 kaavio'!B36</f>
      </c>
      <c r="B46" s="14" t="e">
        <f>VLOOKUP(A46,Ilmoittautuminen!$B$3:$C$18,2,FALSE)</f>
        <v>#N/A</v>
      </c>
      <c r="C46" s="48">
        <f>'16_4 kaavio'!C36</f>
        <v>0</v>
      </c>
      <c r="D46" s="12" t="s">
        <v>26</v>
      </c>
      <c r="E46" s="48">
        <f>'16_4 kaavio'!C38</f>
        <v>0</v>
      </c>
      <c r="F46" s="6">
        <f>'16_4 kaavio'!B38</f>
      </c>
      <c r="G46" s="14" t="e">
        <f>VLOOKUP(F46,Ilmoittautuminen!$B$3:$C$18,2,FALSE)</f>
        <v>#N/A</v>
      </c>
      <c r="H46" s="32">
        <f>IF(OR(A46="W.O.",F46="W.O."),0,COUNTIF(K46,8)+COUNTIF(N46,8)+COUNTIF(Q46,8)+COUNTIF(T46,8)+COUNTIF(W46,8)+COUNTIF(Z46,8)+COUNTIF(AC46,8)+COUNTIF(AF46,8)+COUNTIF(AI46,8)+COUNTIF(AL46,8)+COUNTIF(AO46,8))</f>
        <v>0</v>
      </c>
      <c r="I46" s="33" t="s">
        <v>26</v>
      </c>
      <c r="J46" s="34">
        <f>IF(OR(A46="W.O.",F46="W.O."),0,COUNTIF(M46,8)+COUNTIF(P46,8)+COUNTIF(S46,8)+COUNTIF(V46,8)+COUNTIF(Y46,8)+COUNTIF(AB46,8)+COUNTIF(AE46,8)+COUNTIF(AH46,8)+COUNTIF(AK46,8)+COUNTIF(AN46,8)+COUNTIF(AQ46,8))</f>
        <v>0</v>
      </c>
      <c r="K46" s="41"/>
      <c r="L46" s="42">
        <f>IF(ISNUMBER(K46),"-","")</f>
      </c>
      <c r="M46" s="43"/>
      <c r="N46" s="44"/>
      <c r="O46" s="42">
        <f>IF(ISNUMBER(N46),"-","")</f>
      </c>
      <c r="P46" s="43"/>
      <c r="Q46" s="44"/>
      <c r="R46" s="42">
        <f>IF(ISNUMBER(Q46),"-","")</f>
      </c>
      <c r="S46" s="43"/>
      <c r="T46" s="44"/>
      <c r="U46" s="42">
        <f>IF(ISNUMBER(T46),"-","")</f>
      </c>
      <c r="V46" s="43"/>
      <c r="W46" s="44"/>
      <c r="X46" s="42">
        <f>IF(ISNUMBER(W46),"-","")</f>
      </c>
      <c r="Y46" s="43"/>
      <c r="Z46" s="44"/>
      <c r="AA46" s="42">
        <f>IF(ISNUMBER(Z46),"-","")</f>
      </c>
      <c r="AB46" s="43"/>
      <c r="AC46" s="44"/>
      <c r="AD46" s="42">
        <f>IF(ISNUMBER(AC46),"-","")</f>
      </c>
      <c r="AE46" s="43"/>
      <c r="AF46" s="44"/>
      <c r="AG46" s="42">
        <f>IF(ISNUMBER(AF46),"-","")</f>
      </c>
      <c r="AH46" s="43"/>
      <c r="AI46" s="44"/>
      <c r="AJ46" s="42">
        <f>IF(ISNUMBER(AI46),"-","")</f>
      </c>
      <c r="AK46" s="43"/>
      <c r="AL46" s="44"/>
      <c r="AM46" s="42">
        <f>IF(ISNUMBER(AL46),"-","")</f>
      </c>
      <c r="AN46" s="43"/>
      <c r="AO46" s="42"/>
      <c r="AP46" s="18">
        <f>IF(ISNUMBER(AO46),"-","")</f>
      </c>
      <c r="AQ46" s="42"/>
      <c r="AR46" s="44">
        <f>SUM(K46+N46+Q46+T46+W46+Z46+AC46+AF46+AI46+AL46+AO46)</f>
        <v>0</v>
      </c>
      <c r="AS46" s="42" t="str">
        <f>IF(ISNUMBER(AR46),"-","")</f>
        <v>-</v>
      </c>
      <c r="AT46" s="43">
        <f>SUM(M46+P46+S46+V46+Y46+AB46+AE46+AH46+AK46+AN46+AQ46)</f>
        <v>0</v>
      </c>
      <c r="AU46" s="6"/>
      <c r="AV46" t="e">
        <f>CONCATENATE(AY46,A46,AZ46," ",B46," - ",BA46,F46,BB46," ",G46,"  (",C46,"-",E46,") ",K46,M46,"  ",N46,P46,"  ",Q46,S46,"  ",T46,V46,"  ")</f>
        <v>#N/A</v>
      </c>
      <c r="AW46" t="e">
        <f>CONCATENATE(AV46,W46,Y46,"  ",Z46,AB46,"  ",AC46,AE46,"  ",AF46,AH46,"  ",AI46,AJ46,AK46,"  ",AL46,AN46,"  ",AO46,AQ46,"; ",AR46,"-",AT46)</f>
        <v>#N/A</v>
      </c>
      <c r="AY46" t="str">
        <f>IF(AND($C46=0,$E46=0),"--",IF(C46&gt;E46,"[b]","[color=#FF0000]"))</f>
        <v>--</v>
      </c>
      <c r="AZ46" t="str">
        <f>IF(AND($C46=0,$E46=0),"--",IF(C46&gt;E46,"[/b]","[/color]"))</f>
        <v>--</v>
      </c>
      <c r="BA46" t="str">
        <f>IF(AND($C46=0,$E46=0),"--",IF(C46&lt;E46,"[b]","[color=#FF0000]"))</f>
        <v>--</v>
      </c>
      <c r="BB46" t="str">
        <f>IF(AND($C46=0,$E46=0),"--",IF(C46&lt;E46,"[/b]","[/color]"))</f>
        <v>--</v>
      </c>
    </row>
    <row r="47" spans="1:48" ht="15.75" thickBot="1">
      <c r="A47" s="6"/>
      <c r="B47" s="6"/>
      <c r="C47" s="48"/>
      <c r="D47" s="6"/>
      <c r="E47" s="4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52" ht="16.5" thickBot="1">
      <c r="A48" s="7" t="s">
        <v>1</v>
      </c>
      <c r="B48" s="6"/>
      <c r="C48" s="48"/>
      <c r="D48" s="6"/>
      <c r="E48" s="48"/>
      <c r="F48" s="6"/>
      <c r="G48" s="6"/>
      <c r="H48" s="29" t="s">
        <v>23</v>
      </c>
      <c r="I48" s="30"/>
      <c r="J48" s="31"/>
      <c r="K48" s="165" t="s">
        <v>39</v>
      </c>
      <c r="L48" s="166"/>
      <c r="M48" s="166"/>
      <c r="N48" s="166" t="s">
        <v>40</v>
      </c>
      <c r="O48" s="166"/>
      <c r="P48" s="166"/>
      <c r="Q48" s="166" t="s">
        <v>41</v>
      </c>
      <c r="R48" s="166"/>
      <c r="S48" s="166"/>
      <c r="T48" s="166" t="s">
        <v>42</v>
      </c>
      <c r="U48" s="166"/>
      <c r="V48" s="166"/>
      <c r="W48" s="166" t="s">
        <v>43</v>
      </c>
      <c r="X48" s="166"/>
      <c r="Y48" s="166"/>
      <c r="Z48" s="166" t="s">
        <v>44</v>
      </c>
      <c r="AA48" s="166"/>
      <c r="AB48" s="166"/>
      <c r="AC48" s="166" t="s">
        <v>45</v>
      </c>
      <c r="AD48" s="166"/>
      <c r="AE48" s="166"/>
      <c r="AF48" s="166" t="s">
        <v>46</v>
      </c>
      <c r="AG48" s="166"/>
      <c r="AH48" s="166"/>
      <c r="AI48" s="166" t="s">
        <v>47</v>
      </c>
      <c r="AJ48" s="166"/>
      <c r="AK48" s="166"/>
      <c r="AL48" s="166" t="s">
        <v>48</v>
      </c>
      <c r="AM48" s="166"/>
      <c r="AN48" s="166"/>
      <c r="AO48" s="166" t="s">
        <v>49</v>
      </c>
      <c r="AP48" s="166"/>
      <c r="AQ48" s="166"/>
      <c r="AR48" s="166" t="s">
        <v>53</v>
      </c>
      <c r="AS48" s="166"/>
      <c r="AT48" s="166"/>
      <c r="AU48" s="6"/>
      <c r="AV48" t="str">
        <f>A48</f>
        <v>Finaali</v>
      </c>
      <c r="AW48" s="16" t="str">
        <f>AY48&amp;A48&amp;AZ48</f>
        <v>[b]Finaali[/b]</v>
      </c>
      <c r="AY48" t="s">
        <v>104</v>
      </c>
      <c r="AZ48" t="s">
        <v>105</v>
      </c>
    </row>
    <row r="49" spans="1:54" ht="12.75" customHeight="1">
      <c r="A49" s="6">
        <f>'16_4 kaavio'!O31</f>
      </c>
      <c r="B49" s="14" t="e">
        <f>VLOOKUP(A49,Ilmoittautuminen!$B$3:$C$18,2,FALSE)</f>
        <v>#N/A</v>
      </c>
      <c r="C49" s="48">
        <f>'16_4 kaavio'!P31</f>
        <v>0</v>
      </c>
      <c r="D49" s="12" t="s">
        <v>26</v>
      </c>
      <c r="E49" s="48">
        <f>'16_4 kaavio'!P33</f>
        <v>0</v>
      </c>
      <c r="F49" s="6">
        <f>'16_4 kaavio'!O33</f>
      </c>
      <c r="G49" s="14" t="e">
        <f>VLOOKUP(F49,Ilmoittautuminen!$B$3:$C$18,2,FALSE)</f>
        <v>#N/A</v>
      </c>
      <c r="H49" s="32">
        <f>IF(OR(A49="W.O.",F49="W.O."),0,COUNTIF(K49,8)+COUNTIF(N49,8)+COUNTIF(Q49,8)+COUNTIF(T49,8)+COUNTIF(W49,8)+COUNTIF(Z49,8)+COUNTIF(AC49,8)+COUNTIF(AF49,8)+COUNTIF(AI49,8)+COUNTIF(AL49,8)+COUNTIF(AO49,8))</f>
        <v>0</v>
      </c>
      <c r="I49" s="33" t="s">
        <v>26</v>
      </c>
      <c r="J49" s="34">
        <f>IF(OR(A49="W.O.",F49="W.O."),0,COUNTIF(M49,8)+COUNTIF(P49,8)+COUNTIF(S49,8)+COUNTIF(V49,8)+COUNTIF(Y49,8)+COUNTIF(AB49,8)+COUNTIF(AE49,8)+COUNTIF(AH49,8)+COUNTIF(AK49,8)+COUNTIF(AN49,8)+COUNTIF(AQ49,8))</f>
        <v>0</v>
      </c>
      <c r="K49" s="35"/>
      <c r="L49" s="36">
        <f>IF(ISNUMBER(K49),"-","")</f>
      </c>
      <c r="M49" s="37"/>
      <c r="N49" s="38"/>
      <c r="O49" s="36">
        <f>IF(ISNUMBER(N49),"-","")</f>
      </c>
      <c r="P49" s="37"/>
      <c r="Q49" s="38"/>
      <c r="R49" s="36">
        <f>IF(ISNUMBER(Q49),"-","")</f>
      </c>
      <c r="S49" s="37"/>
      <c r="T49" s="38"/>
      <c r="U49" s="36">
        <f>IF(ISNUMBER(T49),"-","")</f>
      </c>
      <c r="V49" s="37"/>
      <c r="W49" s="38"/>
      <c r="X49" s="36">
        <f>IF(ISNUMBER(W49),"-","")</f>
      </c>
      <c r="Y49" s="37"/>
      <c r="Z49" s="38"/>
      <c r="AA49" s="36">
        <f>IF(ISNUMBER(Z49),"-","")</f>
      </c>
      <c r="AB49" s="37"/>
      <c r="AC49" s="38"/>
      <c r="AD49" s="36">
        <f>IF(ISNUMBER(AC49),"-","")</f>
      </c>
      <c r="AE49" s="37"/>
      <c r="AF49" s="38"/>
      <c r="AG49" s="36">
        <f>IF(ISNUMBER(AF49),"-","")</f>
      </c>
      <c r="AH49" s="37"/>
      <c r="AI49" s="38"/>
      <c r="AJ49" s="36">
        <f>IF(ISNUMBER(AI49),"-","")</f>
      </c>
      <c r="AK49" s="37"/>
      <c r="AL49" s="38"/>
      <c r="AM49" s="36">
        <f>IF(ISNUMBER(AL49),"-","")</f>
      </c>
      <c r="AN49" s="37"/>
      <c r="AO49" s="36"/>
      <c r="AP49" s="39">
        <f>IF(ISNUMBER(AO49),"-","")</f>
      </c>
      <c r="AQ49" s="36"/>
      <c r="AR49" s="38">
        <f>SUM(K49+N49+Q49+T49+W49+Z49+AC49+AF49+AI49+AL49+AO49)</f>
        <v>0</v>
      </c>
      <c r="AS49" s="36" t="str">
        <f>IF(ISNUMBER(AR49),"-","")</f>
        <v>-</v>
      </c>
      <c r="AT49" s="37">
        <f>(M49+P49+S49+V49+Y49+AB49+AE49+AH49+AK49+AN49+AQ49)</f>
        <v>0</v>
      </c>
      <c r="AU49" s="6"/>
      <c r="AV49" t="e">
        <f>CONCATENATE(AY49,A49,AZ49," ",B49," - ",BA49,F49,BB49," ",G49,"  (",C49,"-",E49,") ",K49,M49,"  ",N49,P49,"  ",Q49,S49,"  ",T49,V49,"  ")</f>
        <v>#N/A</v>
      </c>
      <c r="AW49" t="e">
        <f>CONCATENATE(AV49,W49,Y49,"  ",Z49,AB49,"  ",AC49,AE49,"  ",AF49,AH49,"  ",AI49,AJ49,AK49,"  ",AL49,AN49,"  ",AO49,AQ49,"; ",AR49,"-",AT49)</f>
        <v>#N/A</v>
      </c>
      <c r="AY49" t="str">
        <f>IF(AND($C49=0,$E49=0),"--",IF(C49&gt;E49,"[b]","[color=#FF0000]"))</f>
        <v>--</v>
      </c>
      <c r="AZ49" t="str">
        <f>IF(AND($C49=0,$E49=0),"--",IF(C49&gt;E49,"[/b]","[/color]"))</f>
        <v>--</v>
      </c>
      <c r="BA49" t="str">
        <f>IF(AND($C49=0,$E49=0),"--",IF(C49&lt;E49,"[b]","[color=#FF0000]"))</f>
        <v>--</v>
      </c>
      <c r="BB49" t="str">
        <f>IF(AND($C49=0,$E49=0),"--",IF(C49&lt;E49,"[/b]","[/color]"))</f>
        <v>--</v>
      </c>
    </row>
  </sheetData>
  <sheetProtection/>
  <mergeCells count="108">
    <mergeCell ref="AO48:AQ48"/>
    <mergeCell ref="AR48:AT48"/>
    <mergeCell ref="W48:Y48"/>
    <mergeCell ref="Z48:AB48"/>
    <mergeCell ref="AC48:AE48"/>
    <mergeCell ref="AF48:AH48"/>
    <mergeCell ref="AI48:AK48"/>
    <mergeCell ref="AL48:AN48"/>
    <mergeCell ref="K44:M44"/>
    <mergeCell ref="N44:P44"/>
    <mergeCell ref="Q44:S44"/>
    <mergeCell ref="T44:V44"/>
    <mergeCell ref="K48:M48"/>
    <mergeCell ref="N48:P48"/>
    <mergeCell ref="Q48:S48"/>
    <mergeCell ref="T48:V48"/>
    <mergeCell ref="AO40:AQ40"/>
    <mergeCell ref="AR40:AT40"/>
    <mergeCell ref="AO44:AQ44"/>
    <mergeCell ref="AR44:AT44"/>
    <mergeCell ref="W44:Y44"/>
    <mergeCell ref="Z44:AB44"/>
    <mergeCell ref="AC44:AE44"/>
    <mergeCell ref="AF44:AH44"/>
    <mergeCell ref="AI44:AK44"/>
    <mergeCell ref="AL44:AN44"/>
    <mergeCell ref="W40:Y40"/>
    <mergeCell ref="Z40:AB40"/>
    <mergeCell ref="AC40:AE40"/>
    <mergeCell ref="AF40:AH40"/>
    <mergeCell ref="AI40:AK40"/>
    <mergeCell ref="AL40:AN40"/>
    <mergeCell ref="K36:M36"/>
    <mergeCell ref="N36:P36"/>
    <mergeCell ref="Q36:S36"/>
    <mergeCell ref="T36:V36"/>
    <mergeCell ref="K40:M40"/>
    <mergeCell ref="N40:P40"/>
    <mergeCell ref="Q40:S40"/>
    <mergeCell ref="T40:V40"/>
    <mergeCell ref="AO32:AQ32"/>
    <mergeCell ref="AR32:AT32"/>
    <mergeCell ref="AO36:AQ36"/>
    <mergeCell ref="AR36:AT36"/>
    <mergeCell ref="W36:Y36"/>
    <mergeCell ref="Z36:AB36"/>
    <mergeCell ref="AC36:AE36"/>
    <mergeCell ref="AF36:AH36"/>
    <mergeCell ref="AI36:AK36"/>
    <mergeCell ref="AL36:AN36"/>
    <mergeCell ref="W32:Y32"/>
    <mergeCell ref="Z32:AB32"/>
    <mergeCell ref="AC32:AE32"/>
    <mergeCell ref="AF32:AH32"/>
    <mergeCell ref="AI32:AK32"/>
    <mergeCell ref="AL32:AN32"/>
    <mergeCell ref="K26:M26"/>
    <mergeCell ref="N26:P26"/>
    <mergeCell ref="Q26:S26"/>
    <mergeCell ref="T26:V26"/>
    <mergeCell ref="K32:M32"/>
    <mergeCell ref="N32:P32"/>
    <mergeCell ref="Q32:S32"/>
    <mergeCell ref="T32:V32"/>
    <mergeCell ref="AO20:AQ20"/>
    <mergeCell ref="AR20:AT20"/>
    <mergeCell ref="AO26:AQ26"/>
    <mergeCell ref="AR26:AT26"/>
    <mergeCell ref="W26:Y26"/>
    <mergeCell ref="Z26:AB26"/>
    <mergeCell ref="AC26:AE26"/>
    <mergeCell ref="AF26:AH26"/>
    <mergeCell ref="AI26:AK26"/>
    <mergeCell ref="AL26:AN26"/>
    <mergeCell ref="W20:Y20"/>
    <mergeCell ref="Z20:AB20"/>
    <mergeCell ref="AC20:AE20"/>
    <mergeCell ref="AF20:AH20"/>
    <mergeCell ref="AI20:AK20"/>
    <mergeCell ref="AL20:AN20"/>
    <mergeCell ref="K14:M14"/>
    <mergeCell ref="N14:P14"/>
    <mergeCell ref="Q14:S14"/>
    <mergeCell ref="T14:V14"/>
    <mergeCell ref="K20:M20"/>
    <mergeCell ref="N20:P20"/>
    <mergeCell ref="Q20:S20"/>
    <mergeCell ref="T20:V20"/>
    <mergeCell ref="AI4:AK4"/>
    <mergeCell ref="AL4:AN4"/>
    <mergeCell ref="AO14:AQ14"/>
    <mergeCell ref="AR14:AT14"/>
    <mergeCell ref="W14:Y14"/>
    <mergeCell ref="Z14:AB14"/>
    <mergeCell ref="AC14:AE14"/>
    <mergeCell ref="AF14:AH14"/>
    <mergeCell ref="AI14:AK14"/>
    <mergeCell ref="AL14:AN14"/>
    <mergeCell ref="K4:M4"/>
    <mergeCell ref="N4:P4"/>
    <mergeCell ref="Q4:S4"/>
    <mergeCell ref="T4:V4"/>
    <mergeCell ref="AO4:AQ4"/>
    <mergeCell ref="AR4:AT4"/>
    <mergeCell ref="W4:Y4"/>
    <mergeCell ref="Z4:AB4"/>
    <mergeCell ref="AC4:AE4"/>
    <mergeCell ref="AF4:A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D4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7.421875" style="0" customWidth="1"/>
    <col min="4" max="4" width="10.8515625" style="0" bestFit="1" customWidth="1"/>
    <col min="5" max="5" width="7.140625" style="0" customWidth="1"/>
    <col min="6" max="9" width="3.7109375" style="0" customWidth="1"/>
    <col min="11" max="12" width="3.7109375" style="0" customWidth="1"/>
    <col min="14" max="14" width="4.00390625" style="0" customWidth="1"/>
    <col min="15" max="15" width="16.140625" style="0" customWidth="1"/>
    <col min="16" max="19" width="4.7109375" style="0" customWidth="1"/>
    <col min="20" max="20" width="14.7109375" style="0" customWidth="1"/>
    <col min="21" max="24" width="4.7109375" style="0" customWidth="1"/>
    <col min="25" max="25" width="14.00390625" style="0" customWidth="1"/>
    <col min="26" max="27" width="4.7109375" style="0" customWidth="1"/>
    <col min="28" max="28" width="13.28125" style="0" customWidth="1"/>
    <col min="29" max="30" width="4.7109375" style="0" customWidth="1"/>
  </cols>
  <sheetData>
    <row r="1" spans="1:15" ht="15.75">
      <c r="A1" s="7" t="str">
        <f>Ilmoittautuminen!A1</f>
        <v>Pyramidi RG1 Nevskaja, Kotka/KaKa</v>
      </c>
      <c r="N1" s="7"/>
      <c r="O1" s="7" t="s">
        <v>58</v>
      </c>
    </row>
    <row r="2" spans="1:29" ht="15.75">
      <c r="A2" s="7" t="s">
        <v>31</v>
      </c>
      <c r="F2" s="167" t="s">
        <v>95</v>
      </c>
      <c r="G2" s="141"/>
      <c r="H2" s="141" t="s">
        <v>70</v>
      </c>
      <c r="I2" s="141"/>
      <c r="J2" s="141"/>
      <c r="K2" s="141" t="s">
        <v>61</v>
      </c>
      <c r="L2" s="141"/>
      <c r="M2" s="168"/>
      <c r="O2" t="str">
        <f>Pelit!A4</f>
        <v>1. Kierros</v>
      </c>
      <c r="P2" t="s">
        <v>59</v>
      </c>
      <c r="R2" t="s">
        <v>60</v>
      </c>
      <c r="U2" t="s">
        <v>59</v>
      </c>
      <c r="W2" t="s">
        <v>60</v>
      </c>
      <c r="Z2" t="s">
        <v>61</v>
      </c>
      <c r="AC2" t="s">
        <v>61</v>
      </c>
    </row>
    <row r="3" spans="5:30" ht="12.75">
      <c r="E3" s="20" t="s">
        <v>71</v>
      </c>
      <c r="F3" s="20" t="s">
        <v>63</v>
      </c>
      <c r="G3" s="20" t="s">
        <v>64</v>
      </c>
      <c r="H3" s="20" t="s">
        <v>63</v>
      </c>
      <c r="I3" s="20" t="s">
        <v>64</v>
      </c>
      <c r="J3" s="20" t="s">
        <v>72</v>
      </c>
      <c r="K3" s="20" t="s">
        <v>63</v>
      </c>
      <c r="L3" s="20" t="s">
        <v>64</v>
      </c>
      <c r="M3" s="20" t="s">
        <v>72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67</v>
      </c>
      <c r="U3" t="s">
        <v>63</v>
      </c>
      <c r="V3" t="s">
        <v>64</v>
      </c>
      <c r="W3" t="s">
        <v>65</v>
      </c>
      <c r="X3" t="s">
        <v>66</v>
      </c>
      <c r="Y3" t="s">
        <v>62</v>
      </c>
      <c r="Z3" t="s">
        <v>68</v>
      </c>
      <c r="AA3" t="s">
        <v>69</v>
      </c>
      <c r="AB3" t="s">
        <v>67</v>
      </c>
      <c r="AC3" t="s">
        <v>68</v>
      </c>
      <c r="AD3" t="s">
        <v>69</v>
      </c>
    </row>
    <row r="4" spans="1:30" ht="12.75">
      <c r="A4" s="46">
        <v>1</v>
      </c>
      <c r="B4">
        <f>IF(AND(ISNUMBER('16_4 kaavio'!$P$31),'16_4 kaavio'!$P$31&gt;'16_4 kaavio'!$P$33),'16_4 kaavio'!$O$31,IF(ISNUMBER('16_4 kaavio'!$P$33),'16_4 kaavio'!$O$33,""))</f>
      </c>
      <c r="C4" t="e">
        <f>VLOOKUP(B4,Ilmoittautuminen!$B$3:$C$18,2,FALSE)</f>
        <v>#N/A</v>
      </c>
      <c r="D4" t="e">
        <f>VLOOKUP(B4,Ilmoittautuminen!$B$3:$D$18,3,FALSE)</f>
        <v>#N/A</v>
      </c>
      <c r="E4" s="61"/>
      <c r="F4" s="20">
        <f>SUMIF($O$4:$S$80,B4,$P$4:$P$80)+SUMIF($T$4:$X$80,B4,$U$4:$U$80)</f>
        <v>0</v>
      </c>
      <c r="G4" s="20">
        <f>SUMIF($O$4:$S$80,B4,$Q$4:$Q$80)+SUMIF($T$4:$X$80,B4,$V$4:$V$80)</f>
        <v>0</v>
      </c>
      <c r="H4" s="20">
        <f>SUMIF($O$4:$S$80,B4,$R$4:$R$80)+SUMIF($T$4:$X$80,B4,$S$4:$S$80)</f>
        <v>0</v>
      </c>
      <c r="I4" s="20">
        <f>SUMIF($O$4:$S$80,B4,$S$4:$S$80)+SUMIF($T$4:$X$80,B4,$W$4:$W$80)</f>
        <v>0</v>
      </c>
      <c r="J4" s="20">
        <f>H4-I4</f>
        <v>0</v>
      </c>
      <c r="K4" s="20">
        <f>SUMIF($Y$4:$AA$80,B4,$Z$4:$Z$80)+SUMIF($AB$4:$AD$80,B4,$AD$4:$AD$80)</f>
        <v>0</v>
      </c>
      <c r="L4" s="20">
        <f>SUMIF($Y$4:$AA$80,B4,$AA$4:$AA$80)+SUMIF($AB$4:$AD$80,B4,$AC$4:$AC$80)</f>
        <v>0</v>
      </c>
      <c r="M4" s="20">
        <f>K4-L4</f>
        <v>0</v>
      </c>
      <c r="O4" t="str">
        <f>Pelit!A5</f>
        <v>NN</v>
      </c>
      <c r="P4">
        <f>IF(R4&gt;S4,1,0)</f>
        <v>0</v>
      </c>
      <c r="Q4">
        <f>IF(R4&lt;S4,1,0)</f>
        <v>0</v>
      </c>
      <c r="R4">
        <f>Pelit!H5</f>
        <v>0</v>
      </c>
      <c r="S4">
        <f>Pelit!J5</f>
        <v>0</v>
      </c>
      <c r="T4" t="str">
        <f>Pelit!F5</f>
        <v>W.O.</v>
      </c>
      <c r="U4">
        <f>IF(X4&gt;W4,1,0)</f>
        <v>0</v>
      </c>
      <c r="V4">
        <f>IF(X4&lt;W4,1,0)</f>
        <v>0</v>
      </c>
      <c r="W4">
        <f>Pelit!H5</f>
        <v>0</v>
      </c>
      <c r="X4">
        <f>Pelit!J5</f>
        <v>0</v>
      </c>
      <c r="Y4" t="str">
        <f>Pelit!A5</f>
        <v>NN</v>
      </c>
      <c r="Z4">
        <f>Pelit!AR5</f>
        <v>0</v>
      </c>
      <c r="AA4">
        <f>Pelit!AT5</f>
        <v>0</v>
      </c>
      <c r="AB4" t="str">
        <f>Pelit!F5</f>
        <v>W.O.</v>
      </c>
      <c r="AC4">
        <f>Pelit!AR5</f>
        <v>0</v>
      </c>
      <c r="AD4">
        <f>Pelit!AT5</f>
        <v>0</v>
      </c>
    </row>
    <row r="5" spans="1:30" ht="12.75">
      <c r="A5" s="46">
        <v>2</v>
      </c>
      <c r="B5">
        <f>IF(AND(ISNUMBER('16_4 kaavio'!$P$31),'16_4 kaavio'!$P$31&lt;'16_4 kaavio'!$P$33),'16_4 kaavio'!$O$31,IF(ISNUMBER('16_4 kaavio'!$P$33),'16_4 kaavio'!$O$33,""))</f>
      </c>
      <c r="C5" t="e">
        <f>VLOOKUP(B5,Ilmoittautuminen!$B$3:$C$18,2,FALSE)</f>
        <v>#N/A</v>
      </c>
      <c r="D5" t="e">
        <f>VLOOKUP(B5,Ilmoittautuminen!$B$3:$D$18,3,FALSE)</f>
        <v>#N/A</v>
      </c>
      <c r="E5" s="61"/>
      <c r="F5" s="20">
        <f>SUMIF($O$4:$S$80,B5,$P$4:$P$80)+SUMIF($T$4:$X$80,B5,$U$4:$U$80)</f>
        <v>0</v>
      </c>
      <c r="G5" s="20">
        <f>SUMIF($O$4:$S$80,B5,$Q$4:$Q$80)+SUMIF($T$4:$X$80,B5,$V$4:$V$80)</f>
        <v>0</v>
      </c>
      <c r="H5" s="20">
        <f aca="true" t="shared" si="0" ref="H5:H19">SUMIF($O$4:$S$80,B5,$R$4:$R$80)+SUMIF($T$4:$X$80,B5,$S$4:$S$80)</f>
        <v>0</v>
      </c>
      <c r="I5" s="20">
        <f aca="true" t="shared" si="1" ref="I5:I19">SUMIF($O$4:$S$80,B5,$S$4:$S$80)+SUMIF($T$4:$X$80,B5,$W$4:$W$80)</f>
        <v>0</v>
      </c>
      <c r="J5" s="20">
        <f aca="true" t="shared" si="2" ref="J5:J19">H5-I5</f>
        <v>0</v>
      </c>
      <c r="K5" s="20">
        <f aca="true" t="shared" si="3" ref="K5:K19">SUMIF($Y$4:$AA$80,B5,$Z$4:$Z$80)+SUMIF($AB$4:$AD$80,B5,$AD$4:$AD$80)</f>
        <v>0</v>
      </c>
      <c r="L5" s="20">
        <f aca="true" t="shared" si="4" ref="L5:L19">SUMIF($Y$4:$AA$80,B5,$AA$4:$AA$80)+SUMIF($AB$4:$AD$80,B5,$AC$4:$AC$80)</f>
        <v>0</v>
      </c>
      <c r="M5" s="20">
        <f aca="true" t="shared" si="5" ref="M5:M19">K5-L5</f>
        <v>0</v>
      </c>
      <c r="O5" t="str">
        <f>Pelit!A6</f>
        <v>W.O.</v>
      </c>
      <c r="P5">
        <f aca="true" t="shared" si="6" ref="P5:P48">IF(R5&gt;S5,1,0)</f>
        <v>0</v>
      </c>
      <c r="Q5">
        <f aca="true" t="shared" si="7" ref="Q5:Q48">IF(R5&lt;S5,1,0)</f>
        <v>0</v>
      </c>
      <c r="R5">
        <f>Pelit!H6</f>
        <v>0</v>
      </c>
      <c r="S5">
        <f>Pelit!J6</f>
        <v>0</v>
      </c>
      <c r="T5" t="str">
        <f>Pelit!F6</f>
        <v>W.O.</v>
      </c>
      <c r="U5">
        <f>IF(X5&gt;W5,1,0)</f>
        <v>0</v>
      </c>
      <c r="V5">
        <f>IF(X5&lt;W5,1,0)</f>
        <v>0</v>
      </c>
      <c r="W5">
        <f>Pelit!H6</f>
        <v>0</v>
      </c>
      <c r="X5">
        <f>Pelit!J6</f>
        <v>0</v>
      </c>
      <c r="Y5" t="str">
        <f>Pelit!A6</f>
        <v>W.O.</v>
      </c>
      <c r="Z5">
        <f>Pelit!AR6</f>
        <v>0</v>
      </c>
      <c r="AA5">
        <f>Pelit!AT6</f>
        <v>0</v>
      </c>
      <c r="AB5" t="str">
        <f>Pelit!F6</f>
        <v>W.O.</v>
      </c>
      <c r="AC5">
        <f>Pelit!AR6</f>
        <v>0</v>
      </c>
      <c r="AD5">
        <f>Pelit!AT6</f>
        <v>0</v>
      </c>
    </row>
    <row r="6" spans="1:30" ht="12.75">
      <c r="A6" s="46">
        <v>3</v>
      </c>
      <c r="B6">
        <f>IF(AND(ISNUMBER('16_4 kaavio'!C26),'16_4 kaavio'!C26&lt;'16_4 kaavio'!C28),'16_4 kaavio'!B26,IF(ISNUMBER('16_4 kaavio'!C28),'16_4 kaavio'!B28,""))</f>
      </c>
      <c r="C6" t="e">
        <f>VLOOKUP(B6,Ilmoittautuminen!$B$3:$C$18,2,FALSE)</f>
        <v>#N/A</v>
      </c>
      <c r="D6" t="e">
        <f>VLOOKUP(B6,Ilmoittautuminen!$B$3:$D$18,3,FALSE)</f>
        <v>#N/A</v>
      </c>
      <c r="E6" s="61"/>
      <c r="F6" s="20">
        <f aca="true" t="shared" si="8" ref="F6:F19">SUMIF($O$4:$S$80,B6,$P$4:$P$80)+SUMIF($T$4:$X$80,B6,$U$4:$U$80)</f>
        <v>0</v>
      </c>
      <c r="G6" s="20">
        <f aca="true" t="shared" si="9" ref="G6:G19">SUMIF($O$4:$S$80,B6,$Q$4:$Q$80)+SUMIF($T$4:$X$80,B6,$V$4:$V$80)</f>
        <v>0</v>
      </c>
      <c r="H6" s="20">
        <f t="shared" si="0"/>
        <v>0</v>
      </c>
      <c r="I6" s="20">
        <f t="shared" si="1"/>
        <v>0</v>
      </c>
      <c r="J6" s="20">
        <f t="shared" si="2"/>
        <v>0</v>
      </c>
      <c r="K6" s="20">
        <f t="shared" si="3"/>
        <v>0</v>
      </c>
      <c r="L6" s="20">
        <f t="shared" si="4"/>
        <v>0</v>
      </c>
      <c r="M6" s="20">
        <f t="shared" si="5"/>
        <v>0</v>
      </c>
      <c r="O6" t="str">
        <f>Pelit!A7</f>
        <v>W.O.</v>
      </c>
      <c r="P6">
        <f t="shared" si="6"/>
        <v>0</v>
      </c>
      <c r="Q6">
        <f t="shared" si="7"/>
        <v>0</v>
      </c>
      <c r="R6">
        <f>Pelit!H7</f>
        <v>0</v>
      </c>
      <c r="S6">
        <f>Pelit!J7</f>
        <v>0</v>
      </c>
      <c r="T6" t="str">
        <f>Pelit!F7</f>
        <v>W.O.</v>
      </c>
      <c r="U6">
        <f aca="true" t="shared" si="10" ref="U6:U48">IF(X6&gt;W6,1,0)</f>
        <v>0</v>
      </c>
      <c r="V6">
        <f aca="true" t="shared" si="11" ref="V6:V48">IF(X6&lt;W6,1,0)</f>
        <v>0</v>
      </c>
      <c r="W6">
        <f>Pelit!H7</f>
        <v>0</v>
      </c>
      <c r="X6">
        <f>Pelit!J7</f>
        <v>0</v>
      </c>
      <c r="Y6" t="str">
        <f>Pelit!A7</f>
        <v>W.O.</v>
      </c>
      <c r="Z6">
        <f>Pelit!AR7</f>
        <v>0</v>
      </c>
      <c r="AA6">
        <f>Pelit!AT7</f>
        <v>0</v>
      </c>
      <c r="AB6" t="str">
        <f>Pelit!F7</f>
        <v>W.O.</v>
      </c>
      <c r="AC6">
        <f>Pelit!AR7</f>
        <v>0</v>
      </c>
      <c r="AD6">
        <f>Pelit!AT7</f>
        <v>0</v>
      </c>
    </row>
    <row r="7" spans="1:30" ht="12.75">
      <c r="A7" s="46">
        <v>3</v>
      </c>
      <c r="B7">
        <f>IF(AND(ISNUMBER('16_4 kaavio'!C36),'16_4 kaavio'!C36&lt;'16_4 kaavio'!C38),'16_4 kaavio'!B36,IF(ISNUMBER('16_4 kaavio'!C38),'16_4 kaavio'!B38,""))</f>
      </c>
      <c r="C7" t="e">
        <f>VLOOKUP(B7,Ilmoittautuminen!$B$3:$C$18,2,FALSE)</f>
        <v>#N/A</v>
      </c>
      <c r="D7" t="e">
        <f>VLOOKUP(B7,Ilmoittautuminen!$B$3:$D$18,3,FALSE)</f>
        <v>#N/A</v>
      </c>
      <c r="E7" s="61"/>
      <c r="F7" s="20">
        <f t="shared" si="8"/>
        <v>0</v>
      </c>
      <c r="G7" s="20">
        <f t="shared" si="9"/>
        <v>0</v>
      </c>
      <c r="H7" s="20">
        <f t="shared" si="0"/>
        <v>0</v>
      </c>
      <c r="I7" s="20">
        <f t="shared" si="1"/>
        <v>0</v>
      </c>
      <c r="J7" s="20">
        <f t="shared" si="2"/>
        <v>0</v>
      </c>
      <c r="K7" s="20">
        <f t="shared" si="3"/>
        <v>0</v>
      </c>
      <c r="L7" s="20">
        <f t="shared" si="4"/>
        <v>0</v>
      </c>
      <c r="M7" s="20">
        <f t="shared" si="5"/>
        <v>0</v>
      </c>
      <c r="O7" t="str">
        <f>Pelit!A8</f>
        <v>W.O.</v>
      </c>
      <c r="P7">
        <f t="shared" si="6"/>
        <v>0</v>
      </c>
      <c r="Q7">
        <f t="shared" si="7"/>
        <v>0</v>
      </c>
      <c r="R7">
        <f>Pelit!H8</f>
        <v>0</v>
      </c>
      <c r="S7">
        <f>Pelit!J8</f>
        <v>0</v>
      </c>
      <c r="T7" t="str">
        <f>Pelit!F8</f>
        <v>W.O.</v>
      </c>
      <c r="U7">
        <f t="shared" si="10"/>
        <v>0</v>
      </c>
      <c r="V7">
        <f t="shared" si="11"/>
        <v>0</v>
      </c>
      <c r="W7">
        <f>Pelit!H8</f>
        <v>0</v>
      </c>
      <c r="X7">
        <f>Pelit!J8</f>
        <v>0</v>
      </c>
      <c r="Y7" t="str">
        <f>Pelit!A8</f>
        <v>W.O.</v>
      </c>
      <c r="Z7">
        <f>Pelit!AR8</f>
        <v>0</v>
      </c>
      <c r="AA7">
        <f>Pelit!AT8</f>
        <v>0</v>
      </c>
      <c r="AB7" t="str">
        <f>Pelit!F8</f>
        <v>W.O.</v>
      </c>
      <c r="AC7">
        <f>Pelit!AR8</f>
        <v>0</v>
      </c>
      <c r="AD7">
        <f>Pelit!AT8</f>
        <v>0</v>
      </c>
    </row>
    <row r="8" spans="1:30" ht="12.75">
      <c r="A8" s="46">
        <v>5</v>
      </c>
      <c r="B8">
        <f>IF(AND(ISNUMBER('16_4 kaavio'!C17),'16_4 kaavio'!C17&lt;'16_4 kaavio'!C19),'16_4 kaavio'!B17,IF(ISNUMBER('16_4 kaavio'!C19),'16_4 kaavio'!B19,""))</f>
      </c>
      <c r="C8" t="e">
        <f>VLOOKUP(B8,Ilmoittautuminen!$B$3:$C$18,2,FALSE)</f>
        <v>#N/A</v>
      </c>
      <c r="D8" t="e">
        <f>VLOOKUP(B8,Ilmoittautuminen!$B$3:$D$18,3,FALSE)</f>
        <v>#N/A</v>
      </c>
      <c r="E8" s="61"/>
      <c r="F8" s="20">
        <f t="shared" si="8"/>
        <v>0</v>
      </c>
      <c r="G8" s="20">
        <f t="shared" si="9"/>
        <v>0</v>
      </c>
      <c r="H8" s="20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  <c r="L8" s="20">
        <f t="shared" si="4"/>
        <v>0</v>
      </c>
      <c r="M8" s="20">
        <f t="shared" si="5"/>
        <v>0</v>
      </c>
      <c r="O8" t="str">
        <f>Pelit!A9</f>
        <v>W.O.</v>
      </c>
      <c r="P8">
        <f t="shared" si="6"/>
        <v>0</v>
      </c>
      <c r="Q8">
        <f t="shared" si="7"/>
        <v>0</v>
      </c>
      <c r="R8">
        <f>Pelit!H9</f>
        <v>0</v>
      </c>
      <c r="S8">
        <f>Pelit!J9</f>
        <v>0</v>
      </c>
      <c r="T8" t="str">
        <f>Pelit!F9</f>
        <v>W.O.</v>
      </c>
      <c r="U8">
        <f t="shared" si="10"/>
        <v>0</v>
      </c>
      <c r="V8">
        <f t="shared" si="11"/>
        <v>0</v>
      </c>
      <c r="W8">
        <f>Pelit!H9</f>
        <v>0</v>
      </c>
      <c r="X8">
        <f>Pelit!J9</f>
        <v>0</v>
      </c>
      <c r="Y8" t="str">
        <f>Pelit!A9</f>
        <v>W.O.</v>
      </c>
      <c r="Z8">
        <f>Pelit!AR9</f>
        <v>0</v>
      </c>
      <c r="AA8">
        <f>Pelit!AT9</f>
        <v>0</v>
      </c>
      <c r="AB8" t="str">
        <f>Pelit!F9</f>
        <v>W.O.</v>
      </c>
      <c r="AC8">
        <f>Pelit!AR9</f>
        <v>0</v>
      </c>
      <c r="AD8">
        <f>Pelit!AT9</f>
        <v>0</v>
      </c>
    </row>
    <row r="9" spans="1:30" ht="12.75">
      <c r="A9" s="46">
        <v>5</v>
      </c>
      <c r="B9">
        <f>IF(AND(ISNUMBER('16_4 kaavio'!C45),'16_4 kaavio'!C45&lt;'16_4 kaavio'!C47),'16_4 kaavio'!B45,IF(ISNUMBER('16_4 kaavio'!C47),'16_4 kaavio'!B47,""))</f>
      </c>
      <c r="C9" t="e">
        <f>VLOOKUP(B9,Ilmoittautuminen!$B$3:$C$18,2,FALSE)</f>
        <v>#N/A</v>
      </c>
      <c r="D9" t="e">
        <f>VLOOKUP(B9,Ilmoittautuminen!$B$3:$D$18,3,FALSE)</f>
        <v>#N/A</v>
      </c>
      <c r="E9" s="61"/>
      <c r="F9" s="20">
        <f t="shared" si="8"/>
        <v>0</v>
      </c>
      <c r="G9" s="20">
        <f t="shared" si="9"/>
        <v>0</v>
      </c>
      <c r="H9" s="20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  <c r="L9" s="20">
        <f t="shared" si="4"/>
        <v>0</v>
      </c>
      <c r="M9" s="20">
        <f t="shared" si="5"/>
        <v>0</v>
      </c>
      <c r="O9" t="str">
        <f>Pelit!A10</f>
        <v>W.O.</v>
      </c>
      <c r="P9">
        <f t="shared" si="6"/>
        <v>0</v>
      </c>
      <c r="Q9">
        <f t="shared" si="7"/>
        <v>0</v>
      </c>
      <c r="R9">
        <f>Pelit!H10</f>
        <v>0</v>
      </c>
      <c r="S9">
        <f>Pelit!J10</f>
        <v>0</v>
      </c>
      <c r="T9" t="str">
        <f>Pelit!F10</f>
        <v>W.O.</v>
      </c>
      <c r="U9">
        <f t="shared" si="10"/>
        <v>0</v>
      </c>
      <c r="V9">
        <f t="shared" si="11"/>
        <v>0</v>
      </c>
      <c r="W9">
        <f>Pelit!H10</f>
        <v>0</v>
      </c>
      <c r="X9">
        <f>Pelit!J10</f>
        <v>0</v>
      </c>
      <c r="Y9" t="str">
        <f>Pelit!A10</f>
        <v>W.O.</v>
      </c>
      <c r="Z9">
        <f>Pelit!AR10</f>
        <v>0</v>
      </c>
      <c r="AA9">
        <f>Pelit!AT10</f>
        <v>0</v>
      </c>
      <c r="AB9" t="str">
        <f>Pelit!F10</f>
        <v>W.O.</v>
      </c>
      <c r="AC9">
        <f>Pelit!AR10</f>
        <v>0</v>
      </c>
      <c r="AD9">
        <f>Pelit!AT10</f>
        <v>0</v>
      </c>
    </row>
    <row r="10" spans="1:30" ht="12.75">
      <c r="A10" s="46">
        <v>7</v>
      </c>
      <c r="B10">
        <f>IF(AND(ISNUMBER('16_4 kaavio'!E17),'16_4 kaavio'!E17&lt;'16_4 kaavio'!E19),'16_4 kaavio'!D17,IF(ISNUMBER('16_4 kaavio'!E19),'16_4 kaavio'!D19,""))</f>
      </c>
      <c r="C10" t="e">
        <f>VLOOKUP(B10,Ilmoittautuminen!$B$3:$C$18,2,FALSE)</f>
        <v>#N/A</v>
      </c>
      <c r="D10" t="e">
        <f>VLOOKUP(B10,Ilmoittautuminen!$B$3:$D$18,3,FALSE)</f>
        <v>#N/A</v>
      </c>
      <c r="E10" s="61"/>
      <c r="F10" s="20">
        <f t="shared" si="8"/>
        <v>0</v>
      </c>
      <c r="G10" s="20">
        <f t="shared" si="9"/>
        <v>0</v>
      </c>
      <c r="H10" s="20">
        <f t="shared" si="0"/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  <c r="L10" s="20">
        <f t="shared" si="4"/>
        <v>0</v>
      </c>
      <c r="M10" s="20">
        <f t="shared" si="5"/>
        <v>0</v>
      </c>
      <c r="O10" t="str">
        <f>Pelit!A11</f>
        <v>W.O.</v>
      </c>
      <c r="P10">
        <f t="shared" si="6"/>
        <v>0</v>
      </c>
      <c r="Q10">
        <f t="shared" si="7"/>
        <v>0</v>
      </c>
      <c r="R10">
        <f>Pelit!H11</f>
        <v>0</v>
      </c>
      <c r="S10">
        <f>Pelit!J11</f>
        <v>0</v>
      </c>
      <c r="T10" t="str">
        <f>Pelit!F11</f>
        <v>W.O.</v>
      </c>
      <c r="U10">
        <f t="shared" si="10"/>
        <v>0</v>
      </c>
      <c r="V10">
        <f t="shared" si="11"/>
        <v>0</v>
      </c>
      <c r="W10">
        <f>Pelit!H11</f>
        <v>0</v>
      </c>
      <c r="X10">
        <f>Pelit!J11</f>
        <v>0</v>
      </c>
      <c r="Y10" t="str">
        <f>Pelit!A11</f>
        <v>W.O.</v>
      </c>
      <c r="Z10">
        <f>Pelit!AR11</f>
        <v>0</v>
      </c>
      <c r="AA10">
        <f>Pelit!AT11</f>
        <v>0</v>
      </c>
      <c r="AB10" t="str">
        <f>Pelit!F11</f>
        <v>W.O.</v>
      </c>
      <c r="AC10">
        <f>Pelit!AR11</f>
        <v>0</v>
      </c>
      <c r="AD10">
        <f>Pelit!AT11</f>
        <v>0</v>
      </c>
    </row>
    <row r="11" spans="1:30" ht="12.75">
      <c r="A11" s="46">
        <v>7</v>
      </c>
      <c r="B11">
        <f>IF(AND(ISNUMBER('16_4 kaavio'!E45),'16_4 kaavio'!E45&lt;'16_4 kaavio'!E47),'16_4 kaavio'!D45,IF(ISNUMBER('16_4 kaavio'!E47),'16_4 kaavio'!D47,""))</f>
      </c>
      <c r="C11" t="e">
        <f>VLOOKUP(B11,Ilmoittautuminen!$B$3:$C$18,2,FALSE)</f>
        <v>#N/A</v>
      </c>
      <c r="D11" t="e">
        <f>VLOOKUP(B11,Ilmoittautuminen!$B$3:$D$18,3,FALSE)</f>
        <v>#N/A</v>
      </c>
      <c r="E11" s="61"/>
      <c r="F11" s="20">
        <f t="shared" si="8"/>
        <v>0</v>
      </c>
      <c r="G11" s="20">
        <f t="shared" si="9"/>
        <v>0</v>
      </c>
      <c r="H11" s="20">
        <f t="shared" si="0"/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  <c r="L11" s="20">
        <f t="shared" si="4"/>
        <v>0</v>
      </c>
      <c r="M11" s="20">
        <f t="shared" si="5"/>
        <v>0</v>
      </c>
      <c r="O11" t="str">
        <f>Pelit!A12</f>
        <v>W.O.</v>
      </c>
      <c r="P11">
        <f t="shared" si="6"/>
        <v>0</v>
      </c>
      <c r="Q11">
        <f t="shared" si="7"/>
        <v>0</v>
      </c>
      <c r="R11">
        <f>Pelit!H12</f>
        <v>0</v>
      </c>
      <c r="S11">
        <f>Pelit!J12</f>
        <v>0</v>
      </c>
      <c r="T11" t="str">
        <f>Pelit!F12</f>
        <v>W.O.</v>
      </c>
      <c r="U11">
        <f t="shared" si="10"/>
        <v>0</v>
      </c>
      <c r="V11">
        <f t="shared" si="11"/>
        <v>0</v>
      </c>
      <c r="W11">
        <f>Pelit!H12</f>
        <v>0</v>
      </c>
      <c r="X11">
        <f>Pelit!J12</f>
        <v>0</v>
      </c>
      <c r="Y11" t="str">
        <f>Pelit!A12</f>
        <v>W.O.</v>
      </c>
      <c r="Z11">
        <f>Pelit!AR12</f>
        <v>0</v>
      </c>
      <c r="AA11">
        <f>Pelit!AT12</f>
        <v>0</v>
      </c>
      <c r="AB11" t="str">
        <f>Pelit!F12</f>
        <v>W.O.</v>
      </c>
      <c r="AC11">
        <f>Pelit!AR12</f>
        <v>0</v>
      </c>
      <c r="AD11">
        <f>Pelit!AT12</f>
        <v>0</v>
      </c>
    </row>
    <row r="12" spans="1:13" ht="12.75">
      <c r="A12" s="46">
        <v>9</v>
      </c>
      <c r="B12">
        <f>IF(AND(ISNUMBER('16_4 kaavio'!G11),'16_4 kaavio'!G11&lt;'16_4 kaavio'!G13),'16_4 kaavio'!F11,IF(ISNUMBER('16_4 kaavio'!G13),'16_4 kaavio'!F13,""))</f>
      </c>
      <c r="C12" t="e">
        <f>VLOOKUP(B12,Ilmoittautuminen!$B$3:$C$18,2,FALSE)</f>
        <v>#N/A</v>
      </c>
      <c r="D12" t="e">
        <f>VLOOKUP(B12,Ilmoittautuminen!$B$3:$D$18,3,FALSE)</f>
        <v>#N/A</v>
      </c>
      <c r="E12" s="61"/>
      <c r="F12" s="20">
        <f t="shared" si="8"/>
        <v>0</v>
      </c>
      <c r="G12" s="20">
        <f t="shared" si="9"/>
        <v>0</v>
      </c>
      <c r="H12" s="20">
        <f t="shared" si="0"/>
        <v>0</v>
      </c>
      <c r="I12" s="20">
        <f t="shared" si="1"/>
        <v>0</v>
      </c>
      <c r="J12" s="20">
        <f t="shared" si="2"/>
        <v>0</v>
      </c>
      <c r="K12" s="20">
        <f t="shared" si="3"/>
        <v>0</v>
      </c>
      <c r="L12" s="20">
        <f t="shared" si="4"/>
        <v>0</v>
      </c>
      <c r="M12" s="20">
        <f t="shared" si="5"/>
        <v>0</v>
      </c>
    </row>
    <row r="13" spans="1:15" ht="12.75">
      <c r="A13" s="46">
        <v>9</v>
      </c>
      <c r="B13">
        <f>IF(AND(ISNUMBER('16_4 kaavio'!G23),'16_4 kaavio'!G23&lt;'16_4 kaavio'!G25),'16_4 kaavio'!F23,IF(ISNUMBER('16_4 kaavio'!G25),'16_4 kaavio'!F25,""))</f>
      </c>
      <c r="C13" t="e">
        <f>VLOOKUP(B13,Ilmoittautuminen!$B$3:$C$18,2,FALSE)</f>
        <v>#N/A</v>
      </c>
      <c r="D13" t="e">
        <f>VLOOKUP(B13,Ilmoittautuminen!$B$3:$D$18,3,FALSE)</f>
        <v>#N/A</v>
      </c>
      <c r="E13" s="61"/>
      <c r="F13" s="20">
        <f t="shared" si="8"/>
        <v>0</v>
      </c>
      <c r="G13" s="20">
        <f t="shared" si="9"/>
        <v>0</v>
      </c>
      <c r="H13" s="20">
        <f t="shared" si="0"/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  <c r="L13" s="20">
        <f t="shared" si="4"/>
        <v>0</v>
      </c>
      <c r="M13" s="20">
        <f t="shared" si="5"/>
        <v>0</v>
      </c>
      <c r="O13" t="str">
        <f>Pelit!A14</f>
        <v>Voittajien puoli 2. Kierros</v>
      </c>
    </row>
    <row r="14" spans="1:30" ht="12.75">
      <c r="A14" s="46">
        <v>9</v>
      </c>
      <c r="B14">
        <f>IF(AND(ISNUMBER('16_4 kaavio'!G39),'16_4 kaavio'!G39&lt;'16_4 kaavio'!G41),'16_4 kaavio'!F39,IF(ISNUMBER('16_4 kaavio'!G41),'16_4 kaavio'!F41,""))</f>
      </c>
      <c r="C14" t="e">
        <f>VLOOKUP(B14,Ilmoittautuminen!$B$3:$C$18,2,FALSE)</f>
        <v>#N/A</v>
      </c>
      <c r="D14" t="e">
        <f>VLOOKUP(B14,Ilmoittautuminen!$B$3:$D$18,3,FALSE)</f>
        <v>#N/A</v>
      </c>
      <c r="E14" s="61"/>
      <c r="F14" s="20">
        <f t="shared" si="8"/>
        <v>0</v>
      </c>
      <c r="G14" s="20">
        <f t="shared" si="9"/>
        <v>0</v>
      </c>
      <c r="H14" s="20">
        <f t="shared" si="0"/>
        <v>0</v>
      </c>
      <c r="I14" s="20">
        <f t="shared" si="1"/>
        <v>0</v>
      </c>
      <c r="J14" s="20">
        <f t="shared" si="2"/>
        <v>0</v>
      </c>
      <c r="K14" s="20">
        <f t="shared" si="3"/>
        <v>0</v>
      </c>
      <c r="L14" s="20">
        <f t="shared" si="4"/>
        <v>0</v>
      </c>
      <c r="M14" s="20">
        <f t="shared" si="5"/>
        <v>0</v>
      </c>
      <c r="O14">
        <f>Pelit!A15</f>
      </c>
      <c r="P14">
        <f t="shared" si="6"/>
        <v>0</v>
      </c>
      <c r="Q14">
        <f t="shared" si="7"/>
        <v>0</v>
      </c>
      <c r="R14">
        <f>Pelit!H15</f>
        <v>0</v>
      </c>
      <c r="S14">
        <f>Pelit!J15</f>
        <v>0</v>
      </c>
      <c r="T14">
        <f>Pelit!F15</f>
      </c>
      <c r="U14">
        <f t="shared" si="10"/>
        <v>0</v>
      </c>
      <c r="V14">
        <f t="shared" si="11"/>
        <v>0</v>
      </c>
      <c r="W14">
        <f>Pelit!H15</f>
        <v>0</v>
      </c>
      <c r="X14">
        <f>Pelit!J15</f>
        <v>0</v>
      </c>
      <c r="Y14">
        <f>Pelit!A15</f>
      </c>
      <c r="Z14">
        <f>Pelit!AR15</f>
        <v>0</v>
      </c>
      <c r="AA14">
        <f>Pelit!AT15</f>
        <v>0</v>
      </c>
      <c r="AB14">
        <f>Pelit!F15</f>
      </c>
      <c r="AC14">
        <f>Pelit!AR15</f>
        <v>0</v>
      </c>
      <c r="AD14">
        <f>Pelit!AT15</f>
        <v>0</v>
      </c>
    </row>
    <row r="15" spans="1:30" ht="12.75">
      <c r="A15" s="46">
        <v>9</v>
      </c>
      <c r="B15">
        <f>IF(AND(ISNUMBER('16_4 kaavio'!G51),'16_4 kaavio'!G51&lt;'16_4 kaavio'!G53),'16_4 kaavio'!F51,IF(ISNUMBER('16_4 kaavio'!G53),'16_4 kaavio'!F53,""))</f>
      </c>
      <c r="C15" t="e">
        <f>VLOOKUP(B15,Ilmoittautuminen!$B$3:$C$18,2,FALSE)</f>
        <v>#N/A</v>
      </c>
      <c r="D15" t="e">
        <f>VLOOKUP(B15,Ilmoittautuminen!$B$3:$D$18,3,FALSE)</f>
        <v>#N/A</v>
      </c>
      <c r="E15" s="61"/>
      <c r="F15" s="20">
        <f t="shared" si="8"/>
        <v>0</v>
      </c>
      <c r="G15" s="20">
        <f t="shared" si="9"/>
        <v>0</v>
      </c>
      <c r="H15" s="20">
        <f t="shared" si="0"/>
        <v>0</v>
      </c>
      <c r="I15" s="20">
        <f t="shared" si="1"/>
        <v>0</v>
      </c>
      <c r="J15" s="20">
        <f t="shared" si="2"/>
        <v>0</v>
      </c>
      <c r="K15" s="20">
        <f t="shared" si="3"/>
        <v>0</v>
      </c>
      <c r="L15" s="20">
        <f t="shared" si="4"/>
        <v>0</v>
      </c>
      <c r="M15" s="20">
        <f t="shared" si="5"/>
        <v>0</v>
      </c>
      <c r="O15">
        <f>Pelit!A16</f>
      </c>
      <c r="P15">
        <f t="shared" si="6"/>
        <v>0</v>
      </c>
      <c r="Q15">
        <f t="shared" si="7"/>
        <v>0</v>
      </c>
      <c r="R15">
        <f>Pelit!H16</f>
        <v>0</v>
      </c>
      <c r="S15">
        <f>Pelit!J16</f>
        <v>0</v>
      </c>
      <c r="T15">
        <f>Pelit!F16</f>
      </c>
      <c r="U15">
        <f t="shared" si="10"/>
        <v>0</v>
      </c>
      <c r="V15">
        <f t="shared" si="11"/>
        <v>0</v>
      </c>
      <c r="W15">
        <f>Pelit!H16</f>
        <v>0</v>
      </c>
      <c r="X15">
        <f>Pelit!J16</f>
        <v>0</v>
      </c>
      <c r="Y15">
        <f>Pelit!A16</f>
      </c>
      <c r="Z15">
        <f>Pelit!AR16</f>
        <v>0</v>
      </c>
      <c r="AA15">
        <f>Pelit!AT16</f>
        <v>0</v>
      </c>
      <c r="AB15">
        <f>Pelit!F16</f>
      </c>
      <c r="AC15">
        <f>Pelit!AR16</f>
        <v>0</v>
      </c>
      <c r="AD15">
        <f>Pelit!AT16</f>
        <v>0</v>
      </c>
    </row>
    <row r="16" spans="1:30" ht="12.75">
      <c r="A16" s="46">
        <v>13</v>
      </c>
      <c r="B16">
        <f>IF(AND(ISNUMBER('16_4 kaavio'!I11),'16_4 kaavio'!I11&lt;'16_4 kaavio'!I13),'16_4 kaavio'!H11,IF(ISNUMBER('16_4 kaavio'!I13),'16_4 kaavio'!H13,""))</f>
      </c>
      <c r="C16" t="e">
        <f>VLOOKUP(B16,Ilmoittautuminen!$B$3:$C$18,2,FALSE)</f>
        <v>#N/A</v>
      </c>
      <c r="D16" t="e">
        <f>VLOOKUP(B16,Ilmoittautuminen!$B$3:$D$18,3,FALSE)</f>
        <v>#N/A</v>
      </c>
      <c r="E16" s="61"/>
      <c r="F16" s="20">
        <f t="shared" si="8"/>
        <v>0</v>
      </c>
      <c r="G16" s="20">
        <f t="shared" si="9"/>
        <v>0</v>
      </c>
      <c r="H16" s="20">
        <f t="shared" si="0"/>
        <v>0</v>
      </c>
      <c r="I16" s="20">
        <f t="shared" si="1"/>
        <v>0</v>
      </c>
      <c r="J16" s="20">
        <f t="shared" si="2"/>
        <v>0</v>
      </c>
      <c r="K16" s="20">
        <f t="shared" si="3"/>
        <v>0</v>
      </c>
      <c r="L16" s="20">
        <f t="shared" si="4"/>
        <v>0</v>
      </c>
      <c r="M16" s="20">
        <f t="shared" si="5"/>
        <v>0</v>
      </c>
      <c r="O16">
        <f>Pelit!A17</f>
      </c>
      <c r="P16">
        <f t="shared" si="6"/>
        <v>0</v>
      </c>
      <c r="Q16">
        <f t="shared" si="7"/>
        <v>0</v>
      </c>
      <c r="R16">
        <f>Pelit!H17</f>
        <v>0</v>
      </c>
      <c r="S16">
        <f>Pelit!J17</f>
        <v>0</v>
      </c>
      <c r="T16">
        <f>Pelit!F17</f>
      </c>
      <c r="U16">
        <f t="shared" si="10"/>
        <v>0</v>
      </c>
      <c r="V16">
        <f t="shared" si="11"/>
        <v>0</v>
      </c>
      <c r="W16">
        <f>Pelit!H17</f>
        <v>0</v>
      </c>
      <c r="X16">
        <f>Pelit!J17</f>
        <v>0</v>
      </c>
      <c r="Y16">
        <f>Pelit!A17</f>
      </c>
      <c r="Z16">
        <f>Pelit!AR17</f>
        <v>0</v>
      </c>
      <c r="AA16">
        <f>Pelit!AT17</f>
        <v>0</v>
      </c>
      <c r="AB16">
        <f>Pelit!F17</f>
      </c>
      <c r="AC16">
        <f>Pelit!AR17</f>
        <v>0</v>
      </c>
      <c r="AD16">
        <f>Pelit!AT17</f>
        <v>0</v>
      </c>
    </row>
    <row r="17" spans="1:30" ht="12.75">
      <c r="A17" s="46">
        <v>13</v>
      </c>
      <c r="B17">
        <f>IF(AND(ISNUMBER('16_4 kaavio'!I23),'16_4 kaavio'!I23&lt;'16_4 kaavio'!I25),'16_4 kaavio'!H23,IF(ISNUMBER('16_4 kaavio'!I25),'16_4 kaavio'!H25,""))</f>
      </c>
      <c r="C17" t="e">
        <f>VLOOKUP(B17,Ilmoittautuminen!$B$3:$C$18,2,FALSE)</f>
        <v>#N/A</v>
      </c>
      <c r="D17" t="e">
        <f>VLOOKUP(B17,Ilmoittautuminen!$B$3:$D$18,3,FALSE)</f>
        <v>#N/A</v>
      </c>
      <c r="E17" s="61"/>
      <c r="F17" s="20">
        <f t="shared" si="8"/>
        <v>0</v>
      </c>
      <c r="G17" s="20">
        <f t="shared" si="9"/>
        <v>0</v>
      </c>
      <c r="H17" s="20">
        <f t="shared" si="0"/>
        <v>0</v>
      </c>
      <c r="I17" s="20">
        <f t="shared" si="1"/>
        <v>0</v>
      </c>
      <c r="J17" s="20">
        <f t="shared" si="2"/>
        <v>0</v>
      </c>
      <c r="K17" s="20">
        <f t="shared" si="3"/>
        <v>0</v>
      </c>
      <c r="L17" s="20">
        <f t="shared" si="4"/>
        <v>0</v>
      </c>
      <c r="M17" s="20">
        <f t="shared" si="5"/>
        <v>0</v>
      </c>
      <c r="O17">
        <f>Pelit!A18</f>
      </c>
      <c r="P17">
        <f t="shared" si="6"/>
        <v>0</v>
      </c>
      <c r="Q17">
        <f t="shared" si="7"/>
        <v>0</v>
      </c>
      <c r="R17">
        <f>Pelit!H18</f>
        <v>0</v>
      </c>
      <c r="S17">
        <f>Pelit!J18</f>
        <v>0</v>
      </c>
      <c r="T17">
        <f>Pelit!F18</f>
      </c>
      <c r="U17">
        <f t="shared" si="10"/>
        <v>0</v>
      </c>
      <c r="V17">
        <f t="shared" si="11"/>
        <v>0</v>
      </c>
      <c r="W17">
        <f>Pelit!H18</f>
        <v>0</v>
      </c>
      <c r="X17">
        <f>Pelit!J18</f>
        <v>0</v>
      </c>
      <c r="Y17">
        <f>Pelit!A18</f>
      </c>
      <c r="Z17">
        <f>Pelit!AR18</f>
        <v>0</v>
      </c>
      <c r="AA17">
        <f>Pelit!AT18</f>
        <v>0</v>
      </c>
      <c r="AB17">
        <f>Pelit!F18</f>
      </c>
      <c r="AC17">
        <f>Pelit!AR18</f>
        <v>0</v>
      </c>
      <c r="AD17">
        <f>Pelit!AT18</f>
        <v>0</v>
      </c>
    </row>
    <row r="18" spans="1:13" ht="12.75">
      <c r="A18" s="46">
        <v>13</v>
      </c>
      <c r="B18">
        <f>IF(AND(ISNUMBER('16_4 kaavio'!I39),'16_4 kaavio'!I39&lt;'16_4 kaavio'!I41),'16_4 kaavio'!H39,IF(ISNUMBER('16_4 kaavio'!I41),'16_4 kaavio'!H41,""))</f>
      </c>
      <c r="C18" t="e">
        <f>VLOOKUP(B18,Ilmoittautuminen!$B$3:$C$18,2,FALSE)</f>
        <v>#N/A</v>
      </c>
      <c r="D18" t="e">
        <f>VLOOKUP(B18,Ilmoittautuminen!$B$3:$D$18,3,FALSE)</f>
        <v>#N/A</v>
      </c>
      <c r="E18" s="61"/>
      <c r="F18" s="20">
        <f t="shared" si="8"/>
        <v>0</v>
      </c>
      <c r="G18" s="20">
        <f t="shared" si="9"/>
        <v>0</v>
      </c>
      <c r="H18" s="20">
        <f t="shared" si="0"/>
        <v>0</v>
      </c>
      <c r="I18" s="20">
        <f t="shared" si="1"/>
        <v>0</v>
      </c>
      <c r="J18" s="20">
        <f t="shared" si="2"/>
        <v>0</v>
      </c>
      <c r="K18" s="20">
        <f t="shared" si="3"/>
        <v>0</v>
      </c>
      <c r="L18" s="20">
        <f t="shared" si="4"/>
        <v>0</v>
      </c>
      <c r="M18" s="20">
        <f t="shared" si="5"/>
        <v>0</v>
      </c>
    </row>
    <row r="19" spans="1:15" ht="12.75">
      <c r="A19" s="46">
        <v>13</v>
      </c>
      <c r="B19">
        <f>IF(AND(ISNUMBER('16_4 kaavio'!I51),'16_4 kaavio'!I51&lt;'16_4 kaavio'!I53),'16_4 kaavio'!H51,IF(ISNUMBER('16_4 kaavio'!I53),'16_4 kaavio'!H53,""))</f>
      </c>
      <c r="C19" t="e">
        <f>VLOOKUP(B19,Ilmoittautuminen!$B$3:$C$18,2,FALSE)</f>
        <v>#N/A</v>
      </c>
      <c r="D19" t="e">
        <f>VLOOKUP(B19,Ilmoittautuminen!$B$3:$D$18,3,FALSE)</f>
        <v>#N/A</v>
      </c>
      <c r="E19" s="61"/>
      <c r="F19" s="20">
        <f t="shared" si="8"/>
        <v>0</v>
      </c>
      <c r="G19" s="20">
        <f t="shared" si="9"/>
        <v>0</v>
      </c>
      <c r="H19" s="20">
        <f t="shared" si="0"/>
        <v>0</v>
      </c>
      <c r="I19" s="20">
        <f t="shared" si="1"/>
        <v>0</v>
      </c>
      <c r="J19" s="20">
        <f t="shared" si="2"/>
        <v>0</v>
      </c>
      <c r="K19" s="20">
        <f t="shared" si="3"/>
        <v>0</v>
      </c>
      <c r="L19" s="20">
        <f t="shared" si="4"/>
        <v>0</v>
      </c>
      <c r="M19" s="20">
        <f t="shared" si="5"/>
        <v>0</v>
      </c>
      <c r="O19" t="str">
        <f>Pelit!A20</f>
        <v>Hävinneiden puoli 2. kierros</v>
      </c>
    </row>
    <row r="20" spans="15:30" ht="12.75">
      <c r="O20">
        <f>Pelit!A21</f>
      </c>
      <c r="P20">
        <f>IF(R20&gt;S20,1,0)</f>
        <v>0</v>
      </c>
      <c r="Q20">
        <f>IF(R20&lt;S20,1,0)</f>
        <v>0</v>
      </c>
      <c r="R20">
        <f>Pelit!H21</f>
        <v>0</v>
      </c>
      <c r="S20">
        <f>Pelit!J21</f>
        <v>0</v>
      </c>
      <c r="T20" s="4">
        <f>Pelit!F21</f>
      </c>
      <c r="U20">
        <f>IF(X20&gt;W20,1,0)</f>
        <v>0</v>
      </c>
      <c r="V20">
        <f>IF(X20&lt;W20,1,0)</f>
        <v>0</v>
      </c>
      <c r="W20">
        <f>Pelit!H21</f>
        <v>0</v>
      </c>
      <c r="X20">
        <f>Pelit!J21</f>
        <v>0</v>
      </c>
      <c r="Y20" s="4">
        <f>Pelit!A21</f>
      </c>
      <c r="Z20">
        <f>Pelit!AR21</f>
        <v>0</v>
      </c>
      <c r="AA20">
        <f>Pelit!AT21</f>
        <v>0</v>
      </c>
      <c r="AB20" s="4">
        <f>Pelit!F21</f>
      </c>
      <c r="AC20">
        <f>Pelit!AR21</f>
        <v>0</v>
      </c>
      <c r="AD20">
        <f>Pelit!AT21</f>
        <v>0</v>
      </c>
    </row>
    <row r="21" spans="15:30" ht="12.75">
      <c r="O21">
        <f>Pelit!A22</f>
      </c>
      <c r="P21">
        <f>IF(R21&gt;S21,1,0)</f>
        <v>0</v>
      </c>
      <c r="Q21">
        <f>IF(R21&lt;S21,1,0)</f>
        <v>0</v>
      </c>
      <c r="R21">
        <f>Pelit!H22</f>
        <v>0</v>
      </c>
      <c r="S21">
        <f>Pelit!J22</f>
        <v>0</v>
      </c>
      <c r="T21" s="4">
        <f>Pelit!F22</f>
      </c>
      <c r="U21">
        <f>IF(X21&gt;W21,1,0)</f>
        <v>0</v>
      </c>
      <c r="V21">
        <f>IF(X21&lt;W21,1,0)</f>
        <v>0</v>
      </c>
      <c r="W21">
        <f>Pelit!H22</f>
        <v>0</v>
      </c>
      <c r="X21">
        <f>Pelit!J22</f>
        <v>0</v>
      </c>
      <c r="Y21">
        <f>Pelit!A22</f>
      </c>
      <c r="Z21">
        <f>Pelit!AR22</f>
        <v>0</v>
      </c>
      <c r="AA21">
        <f>Pelit!AT22</f>
        <v>0</v>
      </c>
      <c r="AB21">
        <f>Pelit!F22</f>
      </c>
      <c r="AC21">
        <f>Pelit!AR22</f>
        <v>0</v>
      </c>
      <c r="AD21">
        <f>Pelit!AT22</f>
        <v>0</v>
      </c>
    </row>
    <row r="22" spans="15:30" ht="12.75">
      <c r="O22">
        <f>Pelit!A23</f>
      </c>
      <c r="P22">
        <f t="shared" si="6"/>
        <v>0</v>
      </c>
      <c r="Q22">
        <f t="shared" si="7"/>
        <v>0</v>
      </c>
      <c r="R22">
        <f>Pelit!H23</f>
        <v>0</v>
      </c>
      <c r="S22">
        <f>Pelit!J23</f>
        <v>0</v>
      </c>
      <c r="T22">
        <f>Pelit!F23</f>
      </c>
      <c r="U22">
        <f t="shared" si="10"/>
        <v>0</v>
      </c>
      <c r="V22">
        <f t="shared" si="11"/>
        <v>0</v>
      </c>
      <c r="W22">
        <f>Pelit!H23</f>
        <v>0</v>
      </c>
      <c r="X22">
        <f>Pelit!J23</f>
        <v>0</v>
      </c>
      <c r="Y22">
        <f>Pelit!A23</f>
      </c>
      <c r="Z22">
        <f>Pelit!AR23</f>
        <v>0</v>
      </c>
      <c r="AA22">
        <f>Pelit!AT23</f>
        <v>0</v>
      </c>
      <c r="AB22">
        <f>Pelit!F23</f>
      </c>
      <c r="AC22">
        <f>Pelit!AR23</f>
        <v>0</v>
      </c>
      <c r="AD22">
        <f>Pelit!AT23</f>
        <v>0</v>
      </c>
    </row>
    <row r="23" spans="15:30" ht="12.75">
      <c r="O23">
        <f>Pelit!A24</f>
      </c>
      <c r="P23">
        <f t="shared" si="6"/>
        <v>0</v>
      </c>
      <c r="Q23">
        <f t="shared" si="7"/>
        <v>0</v>
      </c>
      <c r="R23">
        <f>Pelit!H24</f>
        <v>0</v>
      </c>
      <c r="S23">
        <f>Pelit!J24</f>
        <v>0</v>
      </c>
      <c r="T23">
        <f>Pelit!F24</f>
      </c>
      <c r="U23">
        <f t="shared" si="10"/>
        <v>0</v>
      </c>
      <c r="V23">
        <f t="shared" si="11"/>
        <v>0</v>
      </c>
      <c r="W23">
        <f>Pelit!H24</f>
        <v>0</v>
      </c>
      <c r="X23">
        <f>Pelit!J24</f>
        <v>0</v>
      </c>
      <c r="Y23">
        <f>Pelit!A24</f>
      </c>
      <c r="Z23">
        <f>Pelit!AR24</f>
        <v>0</v>
      </c>
      <c r="AA23">
        <f>Pelit!AT24</f>
        <v>0</v>
      </c>
      <c r="AB23">
        <f>Pelit!F24</f>
      </c>
      <c r="AC23">
        <f>Pelit!AR24</f>
        <v>0</v>
      </c>
      <c r="AD23">
        <f>Pelit!AT24</f>
        <v>0</v>
      </c>
    </row>
    <row r="25" ht="12.75">
      <c r="O25" t="str">
        <f>Pelit!A26</f>
        <v>Hävinneiden puoli 3. kierros</v>
      </c>
    </row>
    <row r="26" spans="15:30" ht="12.75">
      <c r="O26">
        <f>Pelit!A27</f>
      </c>
      <c r="P26">
        <f t="shared" si="6"/>
        <v>0</v>
      </c>
      <c r="Q26">
        <f t="shared" si="7"/>
        <v>0</v>
      </c>
      <c r="R26">
        <f>Pelit!H27</f>
        <v>0</v>
      </c>
      <c r="S26">
        <f>Pelit!J27</f>
        <v>0</v>
      </c>
      <c r="T26">
        <f>Pelit!F27</f>
      </c>
      <c r="U26">
        <f t="shared" si="10"/>
        <v>0</v>
      </c>
      <c r="V26">
        <f t="shared" si="11"/>
        <v>0</v>
      </c>
      <c r="W26">
        <f>Pelit!H27</f>
        <v>0</v>
      </c>
      <c r="X26">
        <f>Pelit!J27</f>
        <v>0</v>
      </c>
      <c r="Y26">
        <f>Pelit!A27</f>
      </c>
      <c r="Z26">
        <f>Pelit!AR27</f>
        <v>0</v>
      </c>
      <c r="AA26">
        <f>Pelit!AT27</f>
        <v>0</v>
      </c>
      <c r="AB26">
        <f>Pelit!F27</f>
      </c>
      <c r="AC26">
        <f>Pelit!AR27</f>
        <v>0</v>
      </c>
      <c r="AD26">
        <f>Pelit!AT27</f>
        <v>0</v>
      </c>
    </row>
    <row r="27" spans="15:30" ht="12.75">
      <c r="O27">
        <f>Pelit!A28</f>
      </c>
      <c r="P27">
        <f t="shared" si="6"/>
        <v>0</v>
      </c>
      <c r="Q27">
        <f t="shared" si="7"/>
        <v>0</v>
      </c>
      <c r="R27">
        <f>Pelit!H28</f>
        <v>0</v>
      </c>
      <c r="S27">
        <f>Pelit!J28</f>
        <v>0</v>
      </c>
      <c r="T27">
        <f>Pelit!F28</f>
      </c>
      <c r="U27">
        <f t="shared" si="10"/>
        <v>0</v>
      </c>
      <c r="V27">
        <f t="shared" si="11"/>
        <v>0</v>
      </c>
      <c r="W27">
        <f>Pelit!H28</f>
        <v>0</v>
      </c>
      <c r="X27">
        <f>Pelit!J28</f>
        <v>0</v>
      </c>
      <c r="Y27">
        <f>Pelit!A28</f>
      </c>
      <c r="Z27">
        <f>Pelit!AR28</f>
        <v>0</v>
      </c>
      <c r="AA27">
        <f>Pelit!AT28</f>
        <v>0</v>
      </c>
      <c r="AB27">
        <f>Pelit!F28</f>
      </c>
      <c r="AC27">
        <f>Pelit!AR28</f>
        <v>0</v>
      </c>
      <c r="AD27">
        <f>Pelit!AT28</f>
        <v>0</v>
      </c>
    </row>
    <row r="28" spans="15:30" ht="12.75">
      <c r="O28">
        <f>Pelit!A29</f>
      </c>
      <c r="P28">
        <f t="shared" si="6"/>
        <v>0</v>
      </c>
      <c r="Q28">
        <f t="shared" si="7"/>
        <v>0</v>
      </c>
      <c r="R28">
        <f>Pelit!H29</f>
        <v>0</v>
      </c>
      <c r="S28">
        <f>Pelit!J29</f>
        <v>0</v>
      </c>
      <c r="T28">
        <f>Pelit!F29</f>
      </c>
      <c r="U28">
        <f t="shared" si="10"/>
        <v>0</v>
      </c>
      <c r="V28">
        <f t="shared" si="11"/>
        <v>0</v>
      </c>
      <c r="W28">
        <f>Pelit!H29</f>
        <v>0</v>
      </c>
      <c r="X28">
        <f>Pelit!J29</f>
        <v>0</v>
      </c>
      <c r="Y28">
        <f>Pelit!A29</f>
      </c>
      <c r="Z28">
        <f>Pelit!AR29</f>
        <v>0</v>
      </c>
      <c r="AA28">
        <f>Pelit!AT29</f>
        <v>0</v>
      </c>
      <c r="AB28">
        <f>Pelit!F29</f>
      </c>
      <c r="AC28">
        <f>Pelit!AR29</f>
        <v>0</v>
      </c>
      <c r="AD28">
        <f>Pelit!AT29</f>
        <v>0</v>
      </c>
    </row>
    <row r="29" spans="15:30" ht="12.75">
      <c r="O29">
        <f>Pelit!A30</f>
      </c>
      <c r="P29">
        <f t="shared" si="6"/>
        <v>0</v>
      </c>
      <c r="Q29">
        <f t="shared" si="7"/>
        <v>0</v>
      </c>
      <c r="R29">
        <f>Pelit!H30</f>
        <v>0</v>
      </c>
      <c r="S29">
        <f>Pelit!J30</f>
        <v>0</v>
      </c>
      <c r="T29">
        <f>Pelit!F30</f>
      </c>
      <c r="U29">
        <f t="shared" si="10"/>
        <v>0</v>
      </c>
      <c r="V29">
        <f t="shared" si="11"/>
        <v>0</v>
      </c>
      <c r="W29">
        <f>Pelit!H30</f>
        <v>0</v>
      </c>
      <c r="X29">
        <f>Pelit!J30</f>
        <v>0</v>
      </c>
      <c r="Y29">
        <f>Pelit!A30</f>
      </c>
      <c r="Z29">
        <f>Pelit!AR30</f>
        <v>0</v>
      </c>
      <c r="AA29">
        <f>Pelit!AT30</f>
        <v>0</v>
      </c>
      <c r="AB29">
        <f>Pelit!F30</f>
      </c>
      <c r="AC29">
        <f>Pelit!AR30</f>
        <v>0</v>
      </c>
      <c r="AD29">
        <f>Pelit!AT30</f>
        <v>0</v>
      </c>
    </row>
    <row r="31" ht="12.75">
      <c r="O31" t="str">
        <f>Pelit!A32</f>
        <v>Voittajien puoli 3. Kierros</v>
      </c>
    </row>
    <row r="32" spans="15:30" ht="12.75">
      <c r="O32">
        <f>Pelit!A33</f>
      </c>
      <c r="P32">
        <f t="shared" si="6"/>
        <v>0</v>
      </c>
      <c r="Q32">
        <f t="shared" si="7"/>
        <v>0</v>
      </c>
      <c r="R32">
        <f>Pelit!H33</f>
        <v>0</v>
      </c>
      <c r="S32">
        <f>Pelit!J33</f>
        <v>0</v>
      </c>
      <c r="T32">
        <f>Pelit!F33</f>
      </c>
      <c r="U32">
        <f t="shared" si="10"/>
        <v>0</v>
      </c>
      <c r="V32">
        <f t="shared" si="11"/>
        <v>0</v>
      </c>
      <c r="W32">
        <f>Pelit!H33</f>
        <v>0</v>
      </c>
      <c r="X32">
        <f>Pelit!J33</f>
        <v>0</v>
      </c>
      <c r="Y32">
        <f>Pelit!A33</f>
      </c>
      <c r="Z32">
        <f>Pelit!AR33</f>
        <v>0</v>
      </c>
      <c r="AA32">
        <f>Pelit!AT33</f>
        <v>0</v>
      </c>
      <c r="AB32">
        <f>Pelit!F33</f>
      </c>
      <c r="AC32">
        <f>Pelit!AR33</f>
        <v>0</v>
      </c>
      <c r="AD32">
        <f>Pelit!AT33</f>
        <v>0</v>
      </c>
    </row>
    <row r="33" spans="15:30" ht="12.75">
      <c r="O33">
        <f>Pelit!A34</f>
      </c>
      <c r="P33">
        <f t="shared" si="6"/>
        <v>0</v>
      </c>
      <c r="Q33">
        <f t="shared" si="7"/>
        <v>0</v>
      </c>
      <c r="R33">
        <f>Pelit!H34</f>
        <v>0</v>
      </c>
      <c r="S33">
        <f>Pelit!J34</f>
        <v>0</v>
      </c>
      <c r="T33">
        <f>Pelit!F34</f>
      </c>
      <c r="U33">
        <f t="shared" si="10"/>
        <v>0</v>
      </c>
      <c r="V33">
        <f t="shared" si="11"/>
        <v>0</v>
      </c>
      <c r="W33">
        <f>Pelit!H34</f>
        <v>0</v>
      </c>
      <c r="X33">
        <f>Pelit!J34</f>
        <v>0</v>
      </c>
      <c r="Y33">
        <f>Pelit!A34</f>
      </c>
      <c r="Z33">
        <f>Pelit!AR34</f>
        <v>0</v>
      </c>
      <c r="AA33">
        <f>Pelit!AT34</f>
        <v>0</v>
      </c>
      <c r="AB33">
        <f>Pelit!F34</f>
      </c>
      <c r="AC33">
        <f>Pelit!AR34</f>
        <v>0</v>
      </c>
      <c r="AD33">
        <f>Pelit!AT34</f>
        <v>0</v>
      </c>
    </row>
    <row r="35" ht="12.75">
      <c r="O35" t="str">
        <f>Pelit!A36</f>
        <v>Hävinneiden puoli 4. kierros</v>
      </c>
    </row>
    <row r="36" spans="15:30" ht="12.75">
      <c r="O36">
        <f>Pelit!A37</f>
      </c>
      <c r="P36">
        <f t="shared" si="6"/>
        <v>0</v>
      </c>
      <c r="Q36">
        <f t="shared" si="7"/>
        <v>0</v>
      </c>
      <c r="R36">
        <f>Pelit!H37</f>
        <v>0</v>
      </c>
      <c r="S36">
        <f>Pelit!J37</f>
        <v>0</v>
      </c>
      <c r="T36">
        <f>Pelit!F37</f>
      </c>
      <c r="U36">
        <f t="shared" si="10"/>
        <v>0</v>
      </c>
      <c r="V36">
        <f t="shared" si="11"/>
        <v>0</v>
      </c>
      <c r="W36">
        <f>Pelit!H37</f>
        <v>0</v>
      </c>
      <c r="X36">
        <f>Pelit!J37</f>
        <v>0</v>
      </c>
      <c r="Y36">
        <f>Pelit!A37</f>
      </c>
      <c r="Z36">
        <f>Pelit!AR37</f>
        <v>0</v>
      </c>
      <c r="AA36">
        <f>Pelit!AT37</f>
        <v>0</v>
      </c>
      <c r="AB36">
        <f>Pelit!F37</f>
      </c>
      <c r="AC36">
        <f>Pelit!AR37</f>
        <v>0</v>
      </c>
      <c r="AD36">
        <f>Pelit!AT37</f>
        <v>0</v>
      </c>
    </row>
    <row r="37" spans="15:30" ht="12.75">
      <c r="O37">
        <f>Pelit!A38</f>
      </c>
      <c r="P37">
        <f t="shared" si="6"/>
        <v>0</v>
      </c>
      <c r="Q37">
        <f t="shared" si="7"/>
        <v>0</v>
      </c>
      <c r="R37">
        <f>Pelit!H38</f>
        <v>0</v>
      </c>
      <c r="S37">
        <f>Pelit!J38</f>
        <v>0</v>
      </c>
      <c r="T37">
        <f>Pelit!F38</f>
      </c>
      <c r="U37">
        <f t="shared" si="10"/>
        <v>0</v>
      </c>
      <c r="V37">
        <f t="shared" si="11"/>
        <v>0</v>
      </c>
      <c r="W37">
        <f>Pelit!H38</f>
        <v>0</v>
      </c>
      <c r="X37">
        <f>Pelit!J38</f>
        <v>0</v>
      </c>
      <c r="Y37">
        <f>Pelit!A38</f>
      </c>
      <c r="Z37">
        <f>Pelit!AR38</f>
        <v>0</v>
      </c>
      <c r="AA37">
        <f>Pelit!AT38</f>
        <v>0</v>
      </c>
      <c r="AB37">
        <f>Pelit!F38</f>
      </c>
      <c r="AC37">
        <f>Pelit!AR38</f>
        <v>0</v>
      </c>
      <c r="AD37">
        <f>Pelit!AT38</f>
        <v>0</v>
      </c>
    </row>
    <row r="39" ht="12.75">
      <c r="O39" t="str">
        <f>Pelit!A40</f>
        <v>Hävinneiden puoli 5. kierros</v>
      </c>
    </row>
    <row r="40" spans="15:30" ht="12.75">
      <c r="O40">
        <f>Pelit!A41</f>
      </c>
      <c r="P40">
        <f>IF(R40&gt;S40,1,0)</f>
        <v>0</v>
      </c>
      <c r="Q40">
        <f>IF(R40&lt;S40,1,0)</f>
        <v>0</v>
      </c>
      <c r="R40">
        <f>Pelit!H41</f>
        <v>0</v>
      </c>
      <c r="S40">
        <f>Pelit!J41</f>
        <v>0</v>
      </c>
      <c r="T40">
        <f>Pelit!F41</f>
      </c>
      <c r="U40">
        <f>IF(X40&gt;W40,1,0)</f>
        <v>0</v>
      </c>
      <c r="V40">
        <f>IF(X40&lt;W40,1,0)</f>
        <v>0</v>
      </c>
      <c r="W40">
        <f>Pelit!H41</f>
        <v>0</v>
      </c>
      <c r="X40">
        <f>Pelit!J41</f>
        <v>0</v>
      </c>
      <c r="Y40">
        <f>Pelit!A41</f>
      </c>
      <c r="Z40">
        <f>Pelit!AR41</f>
        <v>0</v>
      </c>
      <c r="AA40">
        <f>Pelit!AT41</f>
        <v>0</v>
      </c>
      <c r="AB40">
        <f>Pelit!F41</f>
      </c>
      <c r="AC40">
        <f>Pelit!AR41</f>
        <v>0</v>
      </c>
      <c r="AD40">
        <f>Pelit!AT41</f>
        <v>0</v>
      </c>
    </row>
    <row r="41" spans="15:30" ht="12.75">
      <c r="O41">
        <f>Pelit!A42</f>
      </c>
      <c r="P41">
        <f>IF(R41&gt;S41,1,0)</f>
        <v>0</v>
      </c>
      <c r="Q41">
        <f>IF(R41&lt;S41,1,0)</f>
        <v>0</v>
      </c>
      <c r="R41">
        <f>Pelit!H42</f>
        <v>0</v>
      </c>
      <c r="S41">
        <f>Pelit!J42</f>
        <v>0</v>
      </c>
      <c r="T41">
        <f>Pelit!F42</f>
      </c>
      <c r="U41">
        <f>IF(X41&gt;W41,1,0)</f>
        <v>0</v>
      </c>
      <c r="V41">
        <f>IF(X41&lt;W41,1,0)</f>
        <v>0</v>
      </c>
      <c r="W41">
        <f>Pelit!H42</f>
        <v>0</v>
      </c>
      <c r="X41">
        <f>Pelit!J42</f>
        <v>0</v>
      </c>
      <c r="Y41">
        <f>Pelit!A42</f>
      </c>
      <c r="Z41">
        <f>Pelit!AR42</f>
        <v>0</v>
      </c>
      <c r="AA41">
        <f>Pelit!AT42</f>
        <v>0</v>
      </c>
      <c r="AB41">
        <f>Pelit!F42</f>
      </c>
      <c r="AC41">
        <f>Pelit!AR42</f>
        <v>0</v>
      </c>
      <c r="AD41">
        <f>Pelit!AT42</f>
        <v>0</v>
      </c>
    </row>
    <row r="43" ht="12.75">
      <c r="O43" t="str">
        <f>Pelit!A44</f>
        <v>1/2 finaali</v>
      </c>
    </row>
    <row r="44" spans="15:30" ht="12.75">
      <c r="O44">
        <f>Pelit!A45</f>
      </c>
      <c r="P44">
        <f t="shared" si="6"/>
        <v>0</v>
      </c>
      <c r="Q44">
        <f t="shared" si="7"/>
        <v>0</v>
      </c>
      <c r="R44">
        <f>Pelit!H45</f>
        <v>0</v>
      </c>
      <c r="S44">
        <f>Pelit!J45</f>
        <v>0</v>
      </c>
      <c r="T44">
        <f>Pelit!F45</f>
      </c>
      <c r="U44">
        <f t="shared" si="10"/>
        <v>0</v>
      </c>
      <c r="V44">
        <f t="shared" si="11"/>
        <v>0</v>
      </c>
      <c r="W44">
        <f>Pelit!H45</f>
        <v>0</v>
      </c>
      <c r="X44">
        <f>Pelit!J45</f>
        <v>0</v>
      </c>
      <c r="Y44">
        <f>Pelit!A45</f>
      </c>
      <c r="Z44">
        <f>Pelit!AR45</f>
        <v>0</v>
      </c>
      <c r="AA44">
        <f>Pelit!AT45</f>
        <v>0</v>
      </c>
      <c r="AB44">
        <f>Pelit!F45</f>
      </c>
      <c r="AC44">
        <f>Pelit!AR45</f>
        <v>0</v>
      </c>
      <c r="AD44">
        <f>Pelit!AT45</f>
        <v>0</v>
      </c>
    </row>
    <row r="45" spans="15:30" ht="12.75">
      <c r="O45">
        <f>Pelit!A46</f>
      </c>
      <c r="P45">
        <f t="shared" si="6"/>
        <v>0</v>
      </c>
      <c r="Q45">
        <f t="shared" si="7"/>
        <v>0</v>
      </c>
      <c r="R45">
        <f>Pelit!H46</f>
        <v>0</v>
      </c>
      <c r="S45">
        <f>Pelit!J46</f>
        <v>0</v>
      </c>
      <c r="T45">
        <f>Pelit!F46</f>
      </c>
      <c r="U45">
        <f t="shared" si="10"/>
        <v>0</v>
      </c>
      <c r="V45">
        <f t="shared" si="11"/>
        <v>0</v>
      </c>
      <c r="W45">
        <f>Pelit!H46</f>
        <v>0</v>
      </c>
      <c r="X45">
        <f>Pelit!J46</f>
        <v>0</v>
      </c>
      <c r="Y45">
        <f>Pelit!A46</f>
      </c>
      <c r="Z45">
        <f>Pelit!AR46</f>
        <v>0</v>
      </c>
      <c r="AA45">
        <f>Pelit!AT46</f>
        <v>0</v>
      </c>
      <c r="AB45">
        <f>Pelit!F46</f>
      </c>
      <c r="AC45">
        <f>Pelit!AR46</f>
        <v>0</v>
      </c>
      <c r="AD45">
        <f>Pelit!AT46</f>
        <v>0</v>
      </c>
    </row>
    <row r="47" ht="12.75">
      <c r="O47" t="str">
        <f>Pelit!A48</f>
        <v>Finaali</v>
      </c>
    </row>
    <row r="48" spans="15:30" ht="12.75">
      <c r="O48">
        <f>Pelit!A49</f>
      </c>
      <c r="P48">
        <f t="shared" si="6"/>
        <v>0</v>
      </c>
      <c r="Q48">
        <f t="shared" si="7"/>
        <v>0</v>
      </c>
      <c r="R48">
        <f>Pelit!H49</f>
        <v>0</v>
      </c>
      <c r="S48">
        <f>Pelit!J49</f>
        <v>0</v>
      </c>
      <c r="T48">
        <f>Pelit!F49</f>
      </c>
      <c r="U48">
        <f t="shared" si="10"/>
        <v>0</v>
      </c>
      <c r="V48">
        <f t="shared" si="11"/>
        <v>0</v>
      </c>
      <c r="W48">
        <f>Pelit!H49</f>
        <v>0</v>
      </c>
      <c r="X48">
        <f>Pelit!J49</f>
        <v>0</v>
      </c>
      <c r="Y48">
        <f>Pelit!A49</f>
      </c>
      <c r="Z48">
        <f>Pelit!AR49</f>
        <v>0</v>
      </c>
      <c r="AA48">
        <f>Pelit!AT49</f>
        <v>0</v>
      </c>
      <c r="AB48">
        <f>Pelit!F49</f>
      </c>
      <c r="AC48">
        <f>Pelit!AR49</f>
        <v>0</v>
      </c>
      <c r="AD48">
        <f>Pelit!AT49</f>
        <v>0</v>
      </c>
    </row>
  </sheetData>
  <sheetProtection sheet="1"/>
  <mergeCells count="3">
    <mergeCell ref="F2:G2"/>
    <mergeCell ref="H2:J2"/>
    <mergeCell ref="K2:M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6"/>
  <dimension ref="A1:N2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0" customWidth="1"/>
    <col min="2" max="2" width="16.28125" style="0" bestFit="1" customWidth="1"/>
    <col min="6" max="13" width="6.7109375" style="0" customWidth="1"/>
  </cols>
  <sheetData>
    <row r="1" ht="22.5" customHeight="1">
      <c r="A1" s="10" t="str">
        <f>Ilmoittautuminen!A1</f>
        <v>Pyramidi RG1 Nevskaja, Kotka/KaKa</v>
      </c>
    </row>
    <row r="2" spans="1:13" ht="15.75">
      <c r="A2" s="7" t="s">
        <v>31</v>
      </c>
      <c r="F2" s="169" t="str">
        <f>Tulokset!F2</f>
        <v>Ottelut</v>
      </c>
      <c r="G2" s="169">
        <f>Tulokset!G2</f>
        <v>0</v>
      </c>
      <c r="H2" s="169" t="str">
        <f>Tulokset!H2</f>
        <v>Pelit</v>
      </c>
      <c r="I2" s="169">
        <f>Tulokset!I2</f>
        <v>0</v>
      </c>
      <c r="J2" s="169">
        <f>Tulokset!J2</f>
        <v>0</v>
      </c>
      <c r="K2" s="169" t="str">
        <f>Tulokset!K2</f>
        <v>Pallot</v>
      </c>
      <c r="L2" s="169">
        <f>Tulokset!L2</f>
        <v>0</v>
      </c>
      <c r="M2" s="170">
        <f>Tulokset!M2</f>
        <v>0</v>
      </c>
    </row>
    <row r="3" spans="5:14" ht="12.75">
      <c r="E3" s="59" t="str">
        <f>Tulokset!E3</f>
        <v>Rgp</v>
      </c>
      <c r="F3" s="59" t="str">
        <f>Tulokset!F3</f>
        <v>V</v>
      </c>
      <c r="G3" s="59" t="str">
        <f>Tulokset!G3</f>
        <v>H</v>
      </c>
      <c r="H3" s="59" t="str">
        <f>Tulokset!H3</f>
        <v>V</v>
      </c>
      <c r="I3" s="59" t="str">
        <f>Tulokset!I3</f>
        <v>H</v>
      </c>
      <c r="J3" s="59" t="str">
        <f>Tulokset!J3</f>
        <v>Suhde</v>
      </c>
      <c r="K3" s="59" t="str">
        <f>Tulokset!K3</f>
        <v>V</v>
      </c>
      <c r="L3" s="59" t="str">
        <f>Tulokset!L3</f>
        <v>H</v>
      </c>
      <c r="M3" s="59" t="str">
        <f>Tulokset!M3</f>
        <v>Suhde</v>
      </c>
      <c r="N3" s="4" t="s">
        <v>103</v>
      </c>
    </row>
    <row r="4" spans="1:14" ht="12.75">
      <c r="A4" s="76" t="s">
        <v>126</v>
      </c>
      <c r="B4" s="76">
        <f>Tulokset!B4</f>
      </c>
      <c r="C4" s="76" t="e">
        <f>Tulokset!C4</f>
        <v>#N/A</v>
      </c>
      <c r="D4" s="76" t="e">
        <f>Tulokset!D4</f>
        <v>#N/A</v>
      </c>
      <c r="E4" s="76">
        <f>Tulokset!E4</f>
        <v>0</v>
      </c>
      <c r="F4" s="76">
        <f>Tulokset!F4</f>
        <v>0</v>
      </c>
      <c r="G4" s="76">
        <f>Tulokset!G4</f>
        <v>0</v>
      </c>
      <c r="H4" s="76">
        <f>Tulokset!H4</f>
        <v>0</v>
      </c>
      <c r="I4" s="76">
        <f>Tulokset!I4</f>
        <v>0</v>
      </c>
      <c r="J4" s="76">
        <f>Tulokset!J4</f>
        <v>0</v>
      </c>
      <c r="K4" s="76">
        <f>Tulokset!K4</f>
        <v>0</v>
      </c>
      <c r="L4" s="76">
        <f>Tulokset!L4</f>
        <v>0</v>
      </c>
      <c r="M4" s="76">
        <f>Tulokset!M4</f>
        <v>0</v>
      </c>
      <c r="N4" t="e">
        <f>CONCATENATE(A4,". ",B4," ",C4,"   ",F4,"-",G4,"   ",H4,"-",I4,"(",J4,"), ",K4,"-",L4,"(",M4,")")</f>
        <v>#N/A</v>
      </c>
    </row>
    <row r="5" spans="1:14" ht="12.75">
      <c r="A5" s="76" t="s">
        <v>127</v>
      </c>
      <c r="B5" s="76">
        <f>Tulokset!B5</f>
      </c>
      <c r="C5" s="76" t="e">
        <f>Tulokset!C5</f>
        <v>#N/A</v>
      </c>
      <c r="D5" s="76" t="e">
        <f>Tulokset!D5</f>
        <v>#N/A</v>
      </c>
      <c r="E5" s="76">
        <f>Tulokset!E5</f>
        <v>0</v>
      </c>
      <c r="F5" s="76">
        <f>Tulokset!F5</f>
        <v>0</v>
      </c>
      <c r="G5" s="76">
        <f>Tulokset!G5</f>
        <v>0</v>
      </c>
      <c r="H5" s="76">
        <f>Tulokset!H5</f>
        <v>0</v>
      </c>
      <c r="I5" s="76">
        <f>Tulokset!I5</f>
        <v>0</v>
      </c>
      <c r="J5" s="76">
        <f>Tulokset!J5</f>
        <v>0</v>
      </c>
      <c r="K5" s="76">
        <f>Tulokset!K5</f>
        <v>0</v>
      </c>
      <c r="L5" s="76">
        <f>Tulokset!L5</f>
        <v>0</v>
      </c>
      <c r="M5" s="76">
        <f>Tulokset!M5</f>
        <v>0</v>
      </c>
      <c r="N5" t="e">
        <f aca="true" t="shared" si="0" ref="N5:N19">CONCATENATE(A5,". ",B5," ",C5,"   ",F5,"-",G5,"   ",H5,"-",I5,"(",J5,"), ",K5,"-",L5,"(",M5,")")</f>
        <v>#N/A</v>
      </c>
    </row>
    <row r="6" spans="1:14" ht="12.75">
      <c r="A6" s="76" t="s">
        <v>128</v>
      </c>
      <c r="B6" s="76">
        <f>Tulokset!B6</f>
      </c>
      <c r="C6" s="76" t="e">
        <f>Tulokset!C6</f>
        <v>#N/A</v>
      </c>
      <c r="D6" s="76" t="e">
        <f>Tulokset!D6</f>
        <v>#N/A</v>
      </c>
      <c r="E6" s="76">
        <f>Tulokset!E6</f>
        <v>0</v>
      </c>
      <c r="F6" s="76">
        <f>Tulokset!F6</f>
        <v>0</v>
      </c>
      <c r="G6" s="76">
        <f>Tulokset!G6</f>
        <v>0</v>
      </c>
      <c r="H6" s="76">
        <f>Tulokset!H6</f>
        <v>0</v>
      </c>
      <c r="I6" s="76">
        <f>Tulokset!I6</f>
        <v>0</v>
      </c>
      <c r="J6" s="76">
        <f>Tulokset!J6</f>
        <v>0</v>
      </c>
      <c r="K6" s="76">
        <f>Tulokset!K6</f>
        <v>0</v>
      </c>
      <c r="L6" s="76">
        <f>Tulokset!L6</f>
        <v>0</v>
      </c>
      <c r="M6" s="76">
        <f>Tulokset!M6</f>
        <v>0</v>
      </c>
      <c r="N6" t="e">
        <f t="shared" si="0"/>
        <v>#N/A</v>
      </c>
    </row>
    <row r="7" spans="1:14" ht="12.75">
      <c r="A7" s="76" t="s">
        <v>129</v>
      </c>
      <c r="B7" s="76">
        <f>Tulokset!B7</f>
      </c>
      <c r="C7" s="76" t="e">
        <f>Tulokset!C7</f>
        <v>#N/A</v>
      </c>
      <c r="D7" s="76" t="e">
        <f>Tulokset!D7</f>
        <v>#N/A</v>
      </c>
      <c r="E7" s="76">
        <f>Tulokset!E7</f>
        <v>0</v>
      </c>
      <c r="F7" s="76">
        <f>Tulokset!F7</f>
        <v>0</v>
      </c>
      <c r="G7" s="76">
        <f>Tulokset!G7</f>
        <v>0</v>
      </c>
      <c r="H7" s="76">
        <f>Tulokset!H7</f>
        <v>0</v>
      </c>
      <c r="I7" s="76">
        <f>Tulokset!I7</f>
        <v>0</v>
      </c>
      <c r="J7" s="76">
        <f>Tulokset!J7</f>
        <v>0</v>
      </c>
      <c r="K7" s="76">
        <f>Tulokset!K7</f>
        <v>0</v>
      </c>
      <c r="L7" s="76">
        <f>Tulokset!L7</f>
        <v>0</v>
      </c>
      <c r="M7" s="76">
        <f>Tulokset!M7</f>
        <v>0</v>
      </c>
      <c r="N7" t="e">
        <f t="shared" si="0"/>
        <v>#N/A</v>
      </c>
    </row>
    <row r="8" spans="1:14" ht="12.75">
      <c r="A8" s="76" t="s">
        <v>130</v>
      </c>
      <c r="B8" s="76">
        <f>Tulokset!B8</f>
      </c>
      <c r="C8" s="76" t="e">
        <f>Tulokset!C8</f>
        <v>#N/A</v>
      </c>
      <c r="D8" s="76" t="e">
        <f>Tulokset!D8</f>
        <v>#N/A</v>
      </c>
      <c r="E8" s="76">
        <f>Tulokset!E8</f>
        <v>0</v>
      </c>
      <c r="F8" s="76">
        <f>Tulokset!F8</f>
        <v>0</v>
      </c>
      <c r="G8" s="76">
        <f>Tulokset!G8</f>
        <v>0</v>
      </c>
      <c r="H8" s="76">
        <f>Tulokset!H8</f>
        <v>0</v>
      </c>
      <c r="I8" s="76">
        <f>Tulokset!I8</f>
        <v>0</v>
      </c>
      <c r="J8" s="76">
        <f>Tulokset!J8</f>
        <v>0</v>
      </c>
      <c r="K8" s="76">
        <f>Tulokset!K8</f>
        <v>0</v>
      </c>
      <c r="L8" s="76">
        <f>Tulokset!L8</f>
        <v>0</v>
      </c>
      <c r="M8" s="76">
        <f>Tulokset!M8</f>
        <v>0</v>
      </c>
      <c r="N8" t="e">
        <f t="shared" si="0"/>
        <v>#N/A</v>
      </c>
    </row>
    <row r="9" spans="1:14" ht="12.75">
      <c r="A9" s="76" t="s">
        <v>131</v>
      </c>
      <c r="B9" s="76">
        <f>Tulokset!B9</f>
      </c>
      <c r="C9" s="76" t="e">
        <f>Tulokset!C9</f>
        <v>#N/A</v>
      </c>
      <c r="D9" s="76" t="e">
        <f>Tulokset!D9</f>
        <v>#N/A</v>
      </c>
      <c r="E9" s="76">
        <f>Tulokset!E9</f>
        <v>0</v>
      </c>
      <c r="F9" s="76">
        <f>Tulokset!F9</f>
        <v>0</v>
      </c>
      <c r="G9" s="76">
        <f>Tulokset!G9</f>
        <v>0</v>
      </c>
      <c r="H9" s="76">
        <f>Tulokset!H9</f>
        <v>0</v>
      </c>
      <c r="I9" s="76">
        <f>Tulokset!I9</f>
        <v>0</v>
      </c>
      <c r="J9" s="76">
        <f>Tulokset!J9</f>
        <v>0</v>
      </c>
      <c r="K9" s="76">
        <f>Tulokset!K9</f>
        <v>0</v>
      </c>
      <c r="L9" s="76">
        <f>Tulokset!L9</f>
        <v>0</v>
      </c>
      <c r="M9" s="76">
        <f>Tulokset!M9</f>
        <v>0</v>
      </c>
      <c r="N9" t="e">
        <f t="shared" si="0"/>
        <v>#N/A</v>
      </c>
    </row>
    <row r="10" spans="1:14" ht="12.75">
      <c r="A10" s="76" t="s">
        <v>132</v>
      </c>
      <c r="B10" s="76">
        <f>Tulokset!B10</f>
      </c>
      <c r="C10" s="76" t="e">
        <f>Tulokset!C10</f>
        <v>#N/A</v>
      </c>
      <c r="D10" s="76" t="e">
        <f>Tulokset!D10</f>
        <v>#N/A</v>
      </c>
      <c r="E10" s="76">
        <f>Tulokset!E10</f>
        <v>0</v>
      </c>
      <c r="F10" s="76">
        <f>Tulokset!F10</f>
        <v>0</v>
      </c>
      <c r="G10" s="76">
        <f>Tulokset!G10</f>
        <v>0</v>
      </c>
      <c r="H10" s="76">
        <f>Tulokset!H10</f>
        <v>0</v>
      </c>
      <c r="I10" s="76">
        <f>Tulokset!I10</f>
        <v>0</v>
      </c>
      <c r="J10" s="76">
        <f>Tulokset!J10</f>
        <v>0</v>
      </c>
      <c r="K10" s="76">
        <f>Tulokset!K10</f>
        <v>0</v>
      </c>
      <c r="L10" s="76">
        <f>Tulokset!L10</f>
        <v>0</v>
      </c>
      <c r="M10" s="76">
        <f>Tulokset!M10</f>
        <v>0</v>
      </c>
      <c r="N10" t="e">
        <f t="shared" si="0"/>
        <v>#N/A</v>
      </c>
    </row>
    <row r="11" spans="1:14" ht="12.75">
      <c r="A11" s="76" t="s">
        <v>133</v>
      </c>
      <c r="B11" s="76">
        <f>Tulokset!B11</f>
      </c>
      <c r="C11" s="76" t="e">
        <f>Tulokset!C11</f>
        <v>#N/A</v>
      </c>
      <c r="D11" s="76" t="e">
        <f>Tulokset!D11</f>
        <v>#N/A</v>
      </c>
      <c r="E11" s="76">
        <f>Tulokset!E11</f>
        <v>0</v>
      </c>
      <c r="F11" s="76">
        <f>Tulokset!F11</f>
        <v>0</v>
      </c>
      <c r="G11" s="76">
        <f>Tulokset!G11</f>
        <v>0</v>
      </c>
      <c r="H11" s="76">
        <f>Tulokset!H11</f>
        <v>0</v>
      </c>
      <c r="I11" s="76">
        <f>Tulokset!I11</f>
        <v>0</v>
      </c>
      <c r="J11" s="76">
        <f>Tulokset!J11</f>
        <v>0</v>
      </c>
      <c r="K11" s="76">
        <f>Tulokset!K11</f>
        <v>0</v>
      </c>
      <c r="L11" s="76">
        <f>Tulokset!L11</f>
        <v>0</v>
      </c>
      <c r="M11" s="76">
        <f>Tulokset!M11</f>
        <v>0</v>
      </c>
      <c r="N11" t="e">
        <f t="shared" si="0"/>
        <v>#N/A</v>
      </c>
    </row>
    <row r="12" spans="1:14" ht="12.75">
      <c r="A12" s="76" t="s">
        <v>134</v>
      </c>
      <c r="B12" s="76">
        <f>Tulokset!B12</f>
      </c>
      <c r="C12" s="76" t="e">
        <f>Tulokset!C12</f>
        <v>#N/A</v>
      </c>
      <c r="D12" s="76" t="e">
        <f>Tulokset!D12</f>
        <v>#N/A</v>
      </c>
      <c r="E12" s="76">
        <f>Tulokset!E12</f>
        <v>0</v>
      </c>
      <c r="F12" s="76">
        <f>Tulokset!F12</f>
        <v>0</v>
      </c>
      <c r="G12" s="76">
        <f>Tulokset!G12</f>
        <v>0</v>
      </c>
      <c r="H12" s="76">
        <f>Tulokset!H12</f>
        <v>0</v>
      </c>
      <c r="I12" s="76">
        <f>Tulokset!I12</f>
        <v>0</v>
      </c>
      <c r="J12" s="76">
        <f>Tulokset!J12</f>
        <v>0</v>
      </c>
      <c r="K12" s="76">
        <f>Tulokset!K12</f>
        <v>0</v>
      </c>
      <c r="L12" s="76">
        <f>Tulokset!L12</f>
        <v>0</v>
      </c>
      <c r="M12" s="76">
        <f>Tulokset!M12</f>
        <v>0</v>
      </c>
      <c r="N12" t="e">
        <f t="shared" si="0"/>
        <v>#N/A</v>
      </c>
    </row>
    <row r="13" spans="1:14" ht="12.75">
      <c r="A13" s="76" t="s">
        <v>135</v>
      </c>
      <c r="B13" s="76">
        <f>Tulokset!B13</f>
      </c>
      <c r="C13" s="76" t="e">
        <f>Tulokset!C13</f>
        <v>#N/A</v>
      </c>
      <c r="D13" s="76" t="e">
        <f>Tulokset!D13</f>
        <v>#N/A</v>
      </c>
      <c r="E13" s="76">
        <f>Tulokset!E13</f>
        <v>0</v>
      </c>
      <c r="F13" s="76">
        <f>Tulokset!F13</f>
        <v>0</v>
      </c>
      <c r="G13" s="76">
        <f>Tulokset!G13</f>
        <v>0</v>
      </c>
      <c r="H13" s="76">
        <f>Tulokset!H13</f>
        <v>0</v>
      </c>
      <c r="I13" s="76">
        <f>Tulokset!I13</f>
        <v>0</v>
      </c>
      <c r="J13" s="76">
        <f>Tulokset!J13</f>
        <v>0</v>
      </c>
      <c r="K13" s="76">
        <f>Tulokset!K13</f>
        <v>0</v>
      </c>
      <c r="L13" s="76">
        <f>Tulokset!L13</f>
        <v>0</v>
      </c>
      <c r="M13" s="76">
        <f>Tulokset!M13</f>
        <v>0</v>
      </c>
      <c r="N13" t="e">
        <f t="shared" si="0"/>
        <v>#N/A</v>
      </c>
    </row>
    <row r="14" spans="1:14" ht="12.75">
      <c r="A14" s="76" t="s">
        <v>136</v>
      </c>
      <c r="B14" s="76">
        <f>Tulokset!B14</f>
      </c>
      <c r="C14" s="76" t="e">
        <f>Tulokset!C14</f>
        <v>#N/A</v>
      </c>
      <c r="D14" s="76" t="e">
        <f>Tulokset!D14</f>
        <v>#N/A</v>
      </c>
      <c r="E14" s="76">
        <f>Tulokset!E14</f>
        <v>0</v>
      </c>
      <c r="F14" s="76">
        <f>Tulokset!F14</f>
        <v>0</v>
      </c>
      <c r="G14" s="76">
        <f>Tulokset!G14</f>
        <v>0</v>
      </c>
      <c r="H14" s="76">
        <f>Tulokset!H14</f>
        <v>0</v>
      </c>
      <c r="I14" s="76">
        <f>Tulokset!I14</f>
        <v>0</v>
      </c>
      <c r="J14" s="76">
        <f>Tulokset!J14</f>
        <v>0</v>
      </c>
      <c r="K14" s="76">
        <f>Tulokset!K14</f>
        <v>0</v>
      </c>
      <c r="L14" s="76">
        <f>Tulokset!L14</f>
        <v>0</v>
      </c>
      <c r="M14" s="76">
        <f>Tulokset!M14</f>
        <v>0</v>
      </c>
      <c r="N14" t="e">
        <f t="shared" si="0"/>
        <v>#N/A</v>
      </c>
    </row>
    <row r="15" spans="1:14" ht="12.75">
      <c r="A15" s="76" t="s">
        <v>137</v>
      </c>
      <c r="B15" s="76">
        <f>Tulokset!B15</f>
      </c>
      <c r="C15" s="76" t="e">
        <f>Tulokset!C15</f>
        <v>#N/A</v>
      </c>
      <c r="D15" s="76" t="e">
        <f>Tulokset!D15</f>
        <v>#N/A</v>
      </c>
      <c r="E15" s="76">
        <f>Tulokset!E15</f>
        <v>0</v>
      </c>
      <c r="F15" s="76">
        <f>Tulokset!F15</f>
        <v>0</v>
      </c>
      <c r="G15" s="76">
        <f>Tulokset!G15</f>
        <v>0</v>
      </c>
      <c r="H15" s="76">
        <f>Tulokset!H15</f>
        <v>0</v>
      </c>
      <c r="I15" s="76">
        <f>Tulokset!I15</f>
        <v>0</v>
      </c>
      <c r="J15" s="76">
        <f>Tulokset!J15</f>
        <v>0</v>
      </c>
      <c r="K15" s="76">
        <f>Tulokset!K15</f>
        <v>0</v>
      </c>
      <c r="L15" s="76">
        <f>Tulokset!L15</f>
        <v>0</v>
      </c>
      <c r="M15" s="76">
        <f>Tulokset!M15</f>
        <v>0</v>
      </c>
      <c r="N15" t="e">
        <f t="shared" si="0"/>
        <v>#N/A</v>
      </c>
    </row>
    <row r="16" spans="1:14" ht="12.75">
      <c r="A16" s="76" t="s">
        <v>138</v>
      </c>
      <c r="B16" s="76">
        <f>Tulokset!B16</f>
      </c>
      <c r="C16" s="76" t="e">
        <f>Tulokset!C16</f>
        <v>#N/A</v>
      </c>
      <c r="D16" s="76" t="e">
        <f>Tulokset!D16</f>
        <v>#N/A</v>
      </c>
      <c r="E16" s="76">
        <f>Tulokset!E16</f>
        <v>0</v>
      </c>
      <c r="F16" s="76">
        <f>Tulokset!F16</f>
        <v>0</v>
      </c>
      <c r="G16" s="76">
        <f>Tulokset!G16</f>
        <v>0</v>
      </c>
      <c r="H16" s="76">
        <f>Tulokset!H16</f>
        <v>0</v>
      </c>
      <c r="I16" s="76">
        <f>Tulokset!I16</f>
        <v>0</v>
      </c>
      <c r="J16" s="76">
        <f>Tulokset!J16</f>
        <v>0</v>
      </c>
      <c r="K16" s="76">
        <f>Tulokset!K16</f>
        <v>0</v>
      </c>
      <c r="L16" s="76">
        <f>Tulokset!L16</f>
        <v>0</v>
      </c>
      <c r="M16" s="76">
        <f>Tulokset!M16</f>
        <v>0</v>
      </c>
      <c r="N16" t="e">
        <f t="shared" si="0"/>
        <v>#N/A</v>
      </c>
    </row>
    <row r="17" spans="1:14" ht="12.75">
      <c r="A17" s="76" t="s">
        <v>139</v>
      </c>
      <c r="B17" s="76">
        <f>Tulokset!B17</f>
      </c>
      <c r="C17" s="76" t="e">
        <f>Tulokset!C17</f>
        <v>#N/A</v>
      </c>
      <c r="D17" s="76" t="e">
        <f>Tulokset!D17</f>
        <v>#N/A</v>
      </c>
      <c r="E17" s="76">
        <f>Tulokset!E17</f>
        <v>0</v>
      </c>
      <c r="F17" s="76">
        <f>Tulokset!F17</f>
        <v>0</v>
      </c>
      <c r="G17" s="76">
        <f>Tulokset!G17</f>
        <v>0</v>
      </c>
      <c r="H17" s="76">
        <f>Tulokset!H17</f>
        <v>0</v>
      </c>
      <c r="I17" s="76">
        <f>Tulokset!I17</f>
        <v>0</v>
      </c>
      <c r="J17" s="76">
        <f>Tulokset!J17</f>
        <v>0</v>
      </c>
      <c r="K17" s="76">
        <f>Tulokset!K17</f>
        <v>0</v>
      </c>
      <c r="L17" s="76">
        <f>Tulokset!L17</f>
        <v>0</v>
      </c>
      <c r="M17" s="76">
        <f>Tulokset!M17</f>
        <v>0</v>
      </c>
      <c r="N17" t="e">
        <f t="shared" si="0"/>
        <v>#N/A</v>
      </c>
    </row>
    <row r="18" spans="1:14" ht="12.75">
      <c r="A18" s="76" t="s">
        <v>140</v>
      </c>
      <c r="B18" s="76">
        <f>Tulokset!B18</f>
      </c>
      <c r="C18" s="76" t="e">
        <f>Tulokset!C18</f>
        <v>#N/A</v>
      </c>
      <c r="D18" s="76" t="e">
        <f>Tulokset!D18</f>
        <v>#N/A</v>
      </c>
      <c r="E18" s="76">
        <f>Tulokset!E18</f>
        <v>0</v>
      </c>
      <c r="F18" s="76">
        <f>Tulokset!F18</f>
        <v>0</v>
      </c>
      <c r="G18" s="76">
        <f>Tulokset!G18</f>
        <v>0</v>
      </c>
      <c r="H18" s="76">
        <f>Tulokset!H18</f>
        <v>0</v>
      </c>
      <c r="I18" s="76">
        <f>Tulokset!I18</f>
        <v>0</v>
      </c>
      <c r="J18" s="76">
        <f>Tulokset!J18</f>
        <v>0</v>
      </c>
      <c r="K18" s="76">
        <f>Tulokset!K18</f>
        <v>0</v>
      </c>
      <c r="L18" s="76">
        <f>Tulokset!L18</f>
        <v>0</v>
      </c>
      <c r="M18" s="76">
        <f>Tulokset!M18</f>
        <v>0</v>
      </c>
      <c r="N18" t="e">
        <f t="shared" si="0"/>
        <v>#N/A</v>
      </c>
    </row>
    <row r="19" spans="1:14" ht="12.75">
      <c r="A19" s="76" t="s">
        <v>141</v>
      </c>
      <c r="B19" s="76">
        <f>Tulokset!B19</f>
      </c>
      <c r="C19" s="76" t="e">
        <f>Tulokset!C19</f>
        <v>#N/A</v>
      </c>
      <c r="D19" s="76" t="e">
        <f>Tulokset!D19</f>
        <v>#N/A</v>
      </c>
      <c r="E19" s="76">
        <f>Tulokset!E19</f>
        <v>0</v>
      </c>
      <c r="F19" s="76">
        <f>Tulokset!F19</f>
        <v>0</v>
      </c>
      <c r="G19" s="76">
        <f>Tulokset!G19</f>
        <v>0</v>
      </c>
      <c r="H19" s="76">
        <f>Tulokset!H19</f>
        <v>0</v>
      </c>
      <c r="I19" s="76">
        <f>Tulokset!I19</f>
        <v>0</v>
      </c>
      <c r="J19" s="76">
        <f>Tulokset!J19</f>
        <v>0</v>
      </c>
      <c r="K19" s="76">
        <f>Tulokset!K19</f>
        <v>0</v>
      </c>
      <c r="L19" s="76">
        <f>Tulokset!L19</f>
        <v>0</v>
      </c>
      <c r="M19" s="76">
        <f>Tulokset!M19</f>
        <v>0</v>
      </c>
      <c r="N19" t="e">
        <f t="shared" si="0"/>
        <v>#N/A</v>
      </c>
    </row>
    <row r="22" ht="12.75">
      <c r="H22" s="75"/>
    </row>
  </sheetData>
  <sheetProtection/>
  <mergeCells count="3">
    <mergeCell ref="F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AG348"/>
  <sheetViews>
    <sheetView zoomScalePageLayoutView="0" workbookViewId="0" topLeftCell="A322">
      <selection activeCell="AF337" sqref="AF337"/>
    </sheetView>
  </sheetViews>
  <sheetFormatPr defaultColWidth="9.140625" defaultRowHeight="12.75"/>
  <cols>
    <col min="1" max="1" width="5.28125" style="0" customWidth="1"/>
    <col min="2" max="2" width="2.7109375" style="0" customWidth="1"/>
    <col min="3" max="4" width="5.28125" style="0" customWidth="1"/>
    <col min="5" max="5" width="2.7109375" style="0" customWidth="1"/>
    <col min="6" max="7" width="5.28125" style="0" customWidth="1"/>
    <col min="8" max="8" width="2.7109375" style="0" customWidth="1"/>
    <col min="9" max="10" width="5.28125" style="0" customWidth="1"/>
    <col min="11" max="11" width="2.7109375" style="0" customWidth="1"/>
    <col min="12" max="13" width="5.28125" style="0" customWidth="1"/>
    <col min="14" max="14" width="2.7109375" style="0" customWidth="1"/>
    <col min="15" max="16" width="5.28125" style="0" customWidth="1"/>
    <col min="17" max="17" width="2.7109375" style="0" customWidth="1"/>
    <col min="18" max="19" width="5.28125" style="0" customWidth="1"/>
    <col min="20" max="20" width="2.7109375" style="0" customWidth="1"/>
    <col min="21" max="22" width="5.28125" style="0" customWidth="1"/>
    <col min="23" max="23" width="2.7109375" style="0" customWidth="1"/>
    <col min="24" max="25" width="5.28125" style="0" customWidth="1"/>
    <col min="26" max="26" width="2.7109375" style="0" customWidth="1"/>
    <col min="27" max="28" width="5.28125" style="0" customWidth="1"/>
    <col min="29" max="29" width="2.7109375" style="0" customWidth="1"/>
    <col min="30" max="31" width="5.28125" style="0" customWidth="1"/>
    <col min="32" max="32" width="2.7109375" style="0" customWidth="1"/>
    <col min="33" max="33" width="5.28125" style="0" customWidth="1"/>
  </cols>
  <sheetData>
    <row r="1" spans="32:33" ht="12.75">
      <c r="AF1" s="66" t="s">
        <v>52</v>
      </c>
      <c r="AG1" s="47">
        <v>1</v>
      </c>
    </row>
    <row r="2" spans="1:33" ht="24" thickBot="1">
      <c r="A2" s="23" t="s">
        <v>37</v>
      </c>
      <c r="B2" s="23"/>
      <c r="C2" s="23"/>
      <c r="D2" s="23"/>
      <c r="E2" s="23"/>
      <c r="F2" s="60">
        <f>'16_4 kaavio'!L6</f>
        <v>0</v>
      </c>
      <c r="G2" s="23"/>
      <c r="H2" s="23"/>
      <c r="I2" s="23"/>
      <c r="J2" s="23"/>
      <c r="K2" s="23"/>
      <c r="L2" s="23"/>
      <c r="M2" s="23"/>
      <c r="N2" s="23" t="s">
        <v>23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 t="s">
        <v>23</v>
      </c>
      <c r="AF2" s="23"/>
      <c r="AG2" s="23"/>
    </row>
    <row r="3" spans="5:33" ht="12.75">
      <c r="E3" s="183" t="str">
        <f>Pelit!A5</f>
        <v>NN</v>
      </c>
      <c r="F3" s="183"/>
      <c r="G3" s="183"/>
      <c r="H3" s="183"/>
      <c r="I3" s="183"/>
      <c r="J3" s="183"/>
      <c r="K3" s="183"/>
      <c r="L3" s="183"/>
      <c r="N3" s="184"/>
      <c r="O3" s="185"/>
      <c r="P3" s="185"/>
      <c r="Q3" s="186"/>
      <c r="V3" s="183" t="str">
        <f>Pelit!F5</f>
        <v>W.O.</v>
      </c>
      <c r="W3" s="183"/>
      <c r="X3" s="183"/>
      <c r="Y3" s="183"/>
      <c r="Z3" s="183"/>
      <c r="AA3" s="183"/>
      <c r="AB3" s="183"/>
      <c r="AC3" s="183"/>
      <c r="AE3" s="184"/>
      <c r="AF3" s="185"/>
      <c r="AG3" s="186"/>
    </row>
    <row r="4" spans="1:33" ht="21" thickBot="1">
      <c r="A4" s="182" t="s">
        <v>75</v>
      </c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83"/>
      <c r="N4" s="187"/>
      <c r="O4" s="188"/>
      <c r="P4" s="188"/>
      <c r="Q4" s="189"/>
      <c r="R4" s="182" t="s">
        <v>76</v>
      </c>
      <c r="S4" s="182"/>
      <c r="T4" s="182"/>
      <c r="U4" s="182"/>
      <c r="V4" s="183"/>
      <c r="W4" s="183"/>
      <c r="X4" s="183"/>
      <c r="Y4" s="183"/>
      <c r="Z4" s="183"/>
      <c r="AA4" s="183"/>
      <c r="AB4" s="183"/>
      <c r="AC4" s="183"/>
      <c r="AD4" s="24"/>
      <c r="AE4" s="187"/>
      <c r="AF4" s="188"/>
      <c r="AG4" s="189"/>
    </row>
    <row r="5" ht="13.5" thickBot="1"/>
    <row r="6" spans="1:33" ht="24" thickBot="1">
      <c r="A6" s="181" t="s">
        <v>39</v>
      </c>
      <c r="B6" s="181"/>
      <c r="C6" s="181"/>
      <c r="D6" s="181" t="s">
        <v>40</v>
      </c>
      <c r="E6" s="181"/>
      <c r="F6" s="181"/>
      <c r="G6" s="181" t="s">
        <v>41</v>
      </c>
      <c r="H6" s="181"/>
      <c r="I6" s="181"/>
      <c r="J6" s="181" t="s">
        <v>42</v>
      </c>
      <c r="K6" s="181"/>
      <c r="L6" s="181"/>
      <c r="M6" s="181" t="s">
        <v>43</v>
      </c>
      <c r="N6" s="181"/>
      <c r="O6" s="181"/>
      <c r="P6" s="181" t="s">
        <v>44</v>
      </c>
      <c r="Q6" s="181"/>
      <c r="R6" s="181"/>
      <c r="S6" s="181" t="s">
        <v>45</v>
      </c>
      <c r="T6" s="181"/>
      <c r="U6" s="181"/>
      <c r="V6" s="181" t="s">
        <v>46</v>
      </c>
      <c r="W6" s="181"/>
      <c r="X6" s="181"/>
      <c r="Y6" s="181" t="s">
        <v>47</v>
      </c>
      <c r="Z6" s="181"/>
      <c r="AA6" s="181"/>
      <c r="AB6" s="181" t="s">
        <v>48</v>
      </c>
      <c r="AC6" s="181"/>
      <c r="AD6" s="181"/>
      <c r="AE6" s="181" t="s">
        <v>49</v>
      </c>
      <c r="AF6" s="181"/>
      <c r="AG6" s="181"/>
    </row>
    <row r="7" spans="1:33" ht="12.75">
      <c r="A7" s="179"/>
      <c r="B7" s="173" t="s">
        <v>26</v>
      </c>
      <c r="C7" s="175"/>
      <c r="D7" s="171"/>
      <c r="E7" s="177" t="s">
        <v>26</v>
      </c>
      <c r="F7" s="175"/>
      <c r="G7" s="171"/>
      <c r="H7" s="173" t="s">
        <v>26</v>
      </c>
      <c r="I7" s="175"/>
      <c r="J7" s="171"/>
      <c r="K7" s="173" t="s">
        <v>26</v>
      </c>
      <c r="L7" s="175"/>
      <c r="M7" s="171"/>
      <c r="N7" s="173" t="s">
        <v>26</v>
      </c>
      <c r="O7" s="175"/>
      <c r="P7" s="179"/>
      <c r="Q7" s="173" t="s">
        <v>26</v>
      </c>
      <c r="R7" s="175"/>
      <c r="S7" s="171"/>
      <c r="T7" s="177" t="s">
        <v>26</v>
      </c>
      <c r="U7" s="175"/>
      <c r="V7" s="171"/>
      <c r="W7" s="173" t="s">
        <v>26</v>
      </c>
      <c r="X7" s="175"/>
      <c r="Y7" s="171"/>
      <c r="Z7" s="173" t="s">
        <v>26</v>
      </c>
      <c r="AA7" s="175"/>
      <c r="AB7" s="171"/>
      <c r="AC7" s="173" t="s">
        <v>26</v>
      </c>
      <c r="AD7" s="175"/>
      <c r="AE7" s="171"/>
      <c r="AF7" s="173" t="s">
        <v>26</v>
      </c>
      <c r="AG7" s="175"/>
    </row>
    <row r="8" spans="1:33" ht="13.5" thickBot="1">
      <c r="A8" s="180"/>
      <c r="B8" s="174"/>
      <c r="C8" s="176"/>
      <c r="D8" s="172"/>
      <c r="E8" s="178"/>
      <c r="F8" s="176"/>
      <c r="G8" s="172"/>
      <c r="H8" s="174"/>
      <c r="I8" s="176"/>
      <c r="J8" s="172"/>
      <c r="K8" s="174"/>
      <c r="L8" s="176"/>
      <c r="M8" s="172"/>
      <c r="N8" s="174"/>
      <c r="O8" s="176"/>
      <c r="P8" s="180"/>
      <c r="Q8" s="174"/>
      <c r="R8" s="176"/>
      <c r="S8" s="172"/>
      <c r="T8" s="178"/>
      <c r="U8" s="176"/>
      <c r="V8" s="172"/>
      <c r="W8" s="174"/>
      <c r="X8" s="176"/>
      <c r="Y8" s="172"/>
      <c r="Z8" s="174"/>
      <c r="AA8" s="176"/>
      <c r="AB8" s="172"/>
      <c r="AC8" s="174"/>
      <c r="AD8" s="176"/>
      <c r="AE8" s="172"/>
      <c r="AF8" s="174"/>
      <c r="AG8" s="176"/>
    </row>
    <row r="9" spans="1:33" ht="2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2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190" t="s">
        <v>77</v>
      </c>
      <c r="L10" s="190"/>
      <c r="M10" s="190"/>
      <c r="N10" s="190"/>
      <c r="O10" s="190"/>
      <c r="P10" s="190"/>
      <c r="Q10" s="190"/>
      <c r="R10" s="190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20.25">
      <c r="A11" s="24"/>
      <c r="B11" s="26"/>
      <c r="C11" s="26"/>
      <c r="D11" s="26"/>
      <c r="E11" s="26"/>
      <c r="F11" s="26"/>
      <c r="G11" s="26"/>
      <c r="H11" s="26"/>
      <c r="I11" s="26"/>
      <c r="J11" s="27" t="s">
        <v>50</v>
      </c>
      <c r="K11" s="190"/>
      <c r="L11" s="190"/>
      <c r="M11" s="190"/>
      <c r="N11" s="190"/>
      <c r="O11" s="190"/>
      <c r="P11" s="190"/>
      <c r="Q11" s="190"/>
      <c r="R11" s="190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2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2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66" t="s">
        <v>52</v>
      </c>
      <c r="AG13" s="47">
        <f>AG1+1</f>
        <v>2</v>
      </c>
    </row>
    <row r="14" spans="1:33" ht="24" thickBot="1">
      <c r="A14" s="23" t="s">
        <v>37</v>
      </c>
      <c r="B14" s="23"/>
      <c r="C14" s="23"/>
      <c r="D14" s="23"/>
      <c r="E14" s="23"/>
      <c r="F14" s="60">
        <f>'16_4 kaavio'!L12</f>
        <v>0</v>
      </c>
      <c r="G14" s="23"/>
      <c r="H14" s="23"/>
      <c r="I14" s="23"/>
      <c r="J14" s="23"/>
      <c r="K14" s="23"/>
      <c r="L14" s="23"/>
      <c r="M14" s="23"/>
      <c r="N14" s="23" t="s">
        <v>23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 t="s">
        <v>23</v>
      </c>
      <c r="AF14" s="23"/>
      <c r="AG14" s="23"/>
    </row>
    <row r="15" spans="5:33" ht="12.75">
      <c r="E15" s="183" t="str">
        <f>Pelit!A6</f>
        <v>W.O.</v>
      </c>
      <c r="F15" s="183"/>
      <c r="G15" s="183"/>
      <c r="H15" s="183"/>
      <c r="I15" s="183"/>
      <c r="J15" s="183"/>
      <c r="K15" s="183"/>
      <c r="L15" s="183"/>
      <c r="N15" s="184"/>
      <c r="O15" s="185"/>
      <c r="P15" s="185"/>
      <c r="Q15" s="186"/>
      <c r="V15" s="183" t="str">
        <f>Pelit!F6</f>
        <v>W.O.</v>
      </c>
      <c r="W15" s="183"/>
      <c r="X15" s="183"/>
      <c r="Y15" s="183"/>
      <c r="Z15" s="183"/>
      <c r="AA15" s="183"/>
      <c r="AB15" s="183"/>
      <c r="AC15" s="183"/>
      <c r="AE15" s="184"/>
      <c r="AF15" s="185"/>
      <c r="AG15" s="186"/>
    </row>
    <row r="16" spans="1:33" ht="21" thickBot="1">
      <c r="A16" s="182" t="s">
        <v>75</v>
      </c>
      <c r="B16" s="182"/>
      <c r="C16" s="182"/>
      <c r="D16" s="182"/>
      <c r="E16" s="183"/>
      <c r="F16" s="183"/>
      <c r="G16" s="183"/>
      <c r="H16" s="183"/>
      <c r="I16" s="183"/>
      <c r="J16" s="183"/>
      <c r="K16" s="183"/>
      <c r="L16" s="183"/>
      <c r="N16" s="187"/>
      <c r="O16" s="188"/>
      <c r="P16" s="188"/>
      <c r="Q16" s="189"/>
      <c r="R16" s="182" t="s">
        <v>76</v>
      </c>
      <c r="S16" s="182"/>
      <c r="T16" s="182"/>
      <c r="U16" s="182"/>
      <c r="V16" s="183"/>
      <c r="W16" s="183"/>
      <c r="X16" s="183"/>
      <c r="Y16" s="183"/>
      <c r="Z16" s="183"/>
      <c r="AA16" s="183"/>
      <c r="AB16" s="183"/>
      <c r="AC16" s="183"/>
      <c r="AD16" s="24"/>
      <c r="AE16" s="187"/>
      <c r="AF16" s="188"/>
      <c r="AG16" s="189"/>
    </row>
    <row r="17" ht="13.5" thickBot="1"/>
    <row r="18" spans="1:33" ht="24" thickBot="1">
      <c r="A18" s="181" t="s">
        <v>39</v>
      </c>
      <c r="B18" s="181"/>
      <c r="C18" s="181"/>
      <c r="D18" s="181" t="s">
        <v>40</v>
      </c>
      <c r="E18" s="181"/>
      <c r="F18" s="181"/>
      <c r="G18" s="181" t="s">
        <v>41</v>
      </c>
      <c r="H18" s="181"/>
      <c r="I18" s="181"/>
      <c r="J18" s="181" t="s">
        <v>42</v>
      </c>
      <c r="K18" s="181"/>
      <c r="L18" s="181"/>
      <c r="M18" s="181" t="s">
        <v>43</v>
      </c>
      <c r="N18" s="181"/>
      <c r="O18" s="181"/>
      <c r="P18" s="181" t="s">
        <v>44</v>
      </c>
      <c r="Q18" s="181"/>
      <c r="R18" s="181"/>
      <c r="S18" s="181" t="s">
        <v>45</v>
      </c>
      <c r="T18" s="181"/>
      <c r="U18" s="181"/>
      <c r="V18" s="181" t="s">
        <v>46</v>
      </c>
      <c r="W18" s="181"/>
      <c r="X18" s="181"/>
      <c r="Y18" s="181" t="s">
        <v>47</v>
      </c>
      <c r="Z18" s="181"/>
      <c r="AA18" s="181"/>
      <c r="AB18" s="181" t="s">
        <v>48</v>
      </c>
      <c r="AC18" s="181"/>
      <c r="AD18" s="181"/>
      <c r="AE18" s="181" t="s">
        <v>49</v>
      </c>
      <c r="AF18" s="181"/>
      <c r="AG18" s="181"/>
    </row>
    <row r="19" spans="1:33" ht="12.75">
      <c r="A19" s="179"/>
      <c r="B19" s="173" t="s">
        <v>26</v>
      </c>
      <c r="C19" s="175"/>
      <c r="D19" s="171"/>
      <c r="E19" s="177" t="s">
        <v>26</v>
      </c>
      <c r="F19" s="175"/>
      <c r="G19" s="171"/>
      <c r="H19" s="173" t="s">
        <v>26</v>
      </c>
      <c r="I19" s="175"/>
      <c r="J19" s="171"/>
      <c r="K19" s="173" t="s">
        <v>26</v>
      </c>
      <c r="L19" s="175"/>
      <c r="M19" s="171"/>
      <c r="N19" s="173" t="s">
        <v>26</v>
      </c>
      <c r="O19" s="175"/>
      <c r="P19" s="179"/>
      <c r="Q19" s="173" t="s">
        <v>26</v>
      </c>
      <c r="R19" s="175"/>
      <c r="S19" s="171"/>
      <c r="T19" s="177" t="s">
        <v>26</v>
      </c>
      <c r="U19" s="175"/>
      <c r="V19" s="171"/>
      <c r="W19" s="173" t="s">
        <v>26</v>
      </c>
      <c r="X19" s="175"/>
      <c r="Y19" s="171"/>
      <c r="Z19" s="173" t="s">
        <v>26</v>
      </c>
      <c r="AA19" s="175"/>
      <c r="AB19" s="171"/>
      <c r="AC19" s="173" t="s">
        <v>26</v>
      </c>
      <c r="AD19" s="175"/>
      <c r="AE19" s="171"/>
      <c r="AF19" s="173" t="s">
        <v>26</v>
      </c>
      <c r="AG19" s="175"/>
    </row>
    <row r="20" spans="1:33" ht="13.5" thickBot="1">
      <c r="A20" s="180"/>
      <c r="B20" s="174"/>
      <c r="C20" s="176"/>
      <c r="D20" s="172"/>
      <c r="E20" s="178"/>
      <c r="F20" s="176"/>
      <c r="G20" s="172"/>
      <c r="H20" s="174"/>
      <c r="I20" s="176"/>
      <c r="J20" s="172"/>
      <c r="K20" s="174"/>
      <c r="L20" s="176"/>
      <c r="M20" s="172"/>
      <c r="N20" s="174"/>
      <c r="O20" s="176"/>
      <c r="P20" s="180"/>
      <c r="Q20" s="174"/>
      <c r="R20" s="176"/>
      <c r="S20" s="172"/>
      <c r="T20" s="178"/>
      <c r="U20" s="176"/>
      <c r="V20" s="172"/>
      <c r="W20" s="174"/>
      <c r="X20" s="176"/>
      <c r="Y20" s="172"/>
      <c r="Z20" s="174"/>
      <c r="AA20" s="176"/>
      <c r="AB20" s="172"/>
      <c r="AC20" s="174"/>
      <c r="AD20" s="176"/>
      <c r="AE20" s="172"/>
      <c r="AF20" s="174"/>
      <c r="AG20" s="176"/>
    </row>
    <row r="22" spans="11:18" ht="12.75">
      <c r="K22" s="190" t="s">
        <v>77</v>
      </c>
      <c r="L22" s="190"/>
      <c r="M22" s="190"/>
      <c r="N22" s="190"/>
      <c r="O22" s="190"/>
      <c r="P22" s="190"/>
      <c r="Q22" s="190"/>
      <c r="R22" s="190"/>
    </row>
    <row r="23" spans="1:33" ht="20.25">
      <c r="A23" s="24"/>
      <c r="B23" s="24"/>
      <c r="C23" s="24"/>
      <c r="D23" s="24"/>
      <c r="E23" s="24"/>
      <c r="F23" s="24"/>
      <c r="G23" s="24"/>
      <c r="H23" s="24"/>
      <c r="I23" s="24"/>
      <c r="J23" s="27" t="s">
        <v>50</v>
      </c>
      <c r="K23" s="190"/>
      <c r="L23" s="190"/>
      <c r="M23" s="190"/>
      <c r="N23" s="190"/>
      <c r="O23" s="190"/>
      <c r="P23" s="190"/>
      <c r="Q23" s="190"/>
      <c r="R23" s="190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ht="20.25">
      <c r="A24" s="24"/>
    </row>
    <row r="25" spans="32:33" ht="12.75">
      <c r="AF25" s="66" t="s">
        <v>52</v>
      </c>
      <c r="AG25" s="47">
        <f>AG13+1</f>
        <v>3</v>
      </c>
    </row>
    <row r="26" spans="1:33" ht="24" thickBot="1">
      <c r="A26" s="23" t="s">
        <v>37</v>
      </c>
      <c r="B26" s="23"/>
      <c r="C26" s="23"/>
      <c r="D26" s="23"/>
      <c r="E26" s="23"/>
      <c r="F26" s="60">
        <f>'16_4 kaavio'!L18</f>
        <v>0</v>
      </c>
      <c r="G26" s="23"/>
      <c r="H26" s="23"/>
      <c r="I26" s="23"/>
      <c r="J26" s="23"/>
      <c r="K26" s="23"/>
      <c r="L26" s="23"/>
      <c r="M26" s="23"/>
      <c r="N26" s="23" t="s">
        <v>23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 t="s">
        <v>23</v>
      </c>
      <c r="AF26" s="23"/>
      <c r="AG26" s="23"/>
    </row>
    <row r="27" spans="5:33" ht="12.75">
      <c r="E27" s="183" t="str">
        <f>Pelit!A7</f>
        <v>W.O.</v>
      </c>
      <c r="F27" s="183"/>
      <c r="G27" s="183"/>
      <c r="H27" s="183"/>
      <c r="I27" s="183"/>
      <c r="J27" s="183"/>
      <c r="K27" s="183"/>
      <c r="L27" s="183"/>
      <c r="N27" s="184"/>
      <c r="O27" s="185"/>
      <c r="P27" s="185"/>
      <c r="Q27" s="186"/>
      <c r="V27" s="183" t="str">
        <f>Pelit!F7</f>
        <v>W.O.</v>
      </c>
      <c r="W27" s="183"/>
      <c r="X27" s="183"/>
      <c r="Y27" s="183"/>
      <c r="Z27" s="183"/>
      <c r="AA27" s="183"/>
      <c r="AB27" s="183"/>
      <c r="AC27" s="183"/>
      <c r="AE27" s="184"/>
      <c r="AF27" s="185"/>
      <c r="AG27" s="186"/>
    </row>
    <row r="28" spans="1:33" ht="21" thickBot="1">
      <c r="A28" s="182" t="s">
        <v>75</v>
      </c>
      <c r="B28" s="182"/>
      <c r="C28" s="182"/>
      <c r="D28" s="182"/>
      <c r="E28" s="183"/>
      <c r="F28" s="183"/>
      <c r="G28" s="183"/>
      <c r="H28" s="183"/>
      <c r="I28" s="183"/>
      <c r="J28" s="183"/>
      <c r="K28" s="183"/>
      <c r="L28" s="183"/>
      <c r="N28" s="187"/>
      <c r="O28" s="188"/>
      <c r="P28" s="188"/>
      <c r="Q28" s="189"/>
      <c r="R28" s="182" t="s">
        <v>76</v>
      </c>
      <c r="S28" s="182"/>
      <c r="T28" s="182"/>
      <c r="U28" s="182"/>
      <c r="V28" s="183"/>
      <c r="W28" s="183"/>
      <c r="X28" s="183"/>
      <c r="Y28" s="183"/>
      <c r="Z28" s="183"/>
      <c r="AA28" s="183"/>
      <c r="AB28" s="183"/>
      <c r="AC28" s="183"/>
      <c r="AD28" s="24"/>
      <c r="AE28" s="187"/>
      <c r="AF28" s="188"/>
      <c r="AG28" s="189"/>
    </row>
    <row r="29" ht="13.5" thickBot="1"/>
    <row r="30" spans="1:33" ht="24" thickBot="1">
      <c r="A30" s="181" t="s">
        <v>39</v>
      </c>
      <c r="B30" s="181"/>
      <c r="C30" s="181"/>
      <c r="D30" s="181" t="s">
        <v>40</v>
      </c>
      <c r="E30" s="181"/>
      <c r="F30" s="181"/>
      <c r="G30" s="181" t="s">
        <v>41</v>
      </c>
      <c r="H30" s="181"/>
      <c r="I30" s="181"/>
      <c r="J30" s="181" t="s">
        <v>42</v>
      </c>
      <c r="K30" s="181"/>
      <c r="L30" s="181"/>
      <c r="M30" s="181" t="s">
        <v>43</v>
      </c>
      <c r="N30" s="181"/>
      <c r="O30" s="181"/>
      <c r="P30" s="181" t="s">
        <v>44</v>
      </c>
      <c r="Q30" s="181"/>
      <c r="R30" s="181"/>
      <c r="S30" s="181" t="s">
        <v>45</v>
      </c>
      <c r="T30" s="181"/>
      <c r="U30" s="181"/>
      <c r="V30" s="181" t="s">
        <v>46</v>
      </c>
      <c r="W30" s="181"/>
      <c r="X30" s="181"/>
      <c r="Y30" s="181" t="s">
        <v>47</v>
      </c>
      <c r="Z30" s="181"/>
      <c r="AA30" s="181"/>
      <c r="AB30" s="181" t="s">
        <v>48</v>
      </c>
      <c r="AC30" s="181"/>
      <c r="AD30" s="181"/>
      <c r="AE30" s="181" t="s">
        <v>49</v>
      </c>
      <c r="AF30" s="181"/>
      <c r="AG30" s="181"/>
    </row>
    <row r="31" spans="1:33" ht="12.75">
      <c r="A31" s="179"/>
      <c r="B31" s="173" t="s">
        <v>26</v>
      </c>
      <c r="C31" s="175"/>
      <c r="D31" s="171"/>
      <c r="E31" s="177" t="s">
        <v>26</v>
      </c>
      <c r="F31" s="175"/>
      <c r="G31" s="171"/>
      <c r="H31" s="173" t="s">
        <v>26</v>
      </c>
      <c r="I31" s="175"/>
      <c r="J31" s="171"/>
      <c r="K31" s="173" t="s">
        <v>26</v>
      </c>
      <c r="L31" s="175"/>
      <c r="M31" s="171"/>
      <c r="N31" s="173" t="s">
        <v>26</v>
      </c>
      <c r="O31" s="175"/>
      <c r="P31" s="179"/>
      <c r="Q31" s="173" t="s">
        <v>26</v>
      </c>
      <c r="R31" s="175"/>
      <c r="S31" s="171"/>
      <c r="T31" s="177" t="s">
        <v>26</v>
      </c>
      <c r="U31" s="175"/>
      <c r="V31" s="171"/>
      <c r="W31" s="173" t="s">
        <v>26</v>
      </c>
      <c r="X31" s="175"/>
      <c r="Y31" s="171"/>
      <c r="Z31" s="173" t="s">
        <v>26</v>
      </c>
      <c r="AA31" s="175"/>
      <c r="AB31" s="171"/>
      <c r="AC31" s="173" t="s">
        <v>26</v>
      </c>
      <c r="AD31" s="175"/>
      <c r="AE31" s="171"/>
      <c r="AF31" s="173" t="s">
        <v>26</v>
      </c>
      <c r="AG31" s="175"/>
    </row>
    <row r="32" spans="1:33" ht="13.5" thickBot="1">
      <c r="A32" s="180"/>
      <c r="B32" s="174"/>
      <c r="C32" s="176"/>
      <c r="D32" s="172"/>
      <c r="E32" s="178"/>
      <c r="F32" s="176"/>
      <c r="G32" s="172"/>
      <c r="H32" s="174"/>
      <c r="I32" s="176"/>
      <c r="J32" s="172"/>
      <c r="K32" s="174"/>
      <c r="L32" s="176"/>
      <c r="M32" s="172"/>
      <c r="N32" s="174"/>
      <c r="O32" s="176"/>
      <c r="P32" s="180"/>
      <c r="Q32" s="174"/>
      <c r="R32" s="176"/>
      <c r="S32" s="172"/>
      <c r="T32" s="178"/>
      <c r="U32" s="176"/>
      <c r="V32" s="172"/>
      <c r="W32" s="174"/>
      <c r="X32" s="176"/>
      <c r="Y32" s="172"/>
      <c r="Z32" s="174"/>
      <c r="AA32" s="176"/>
      <c r="AB32" s="172"/>
      <c r="AC32" s="174"/>
      <c r="AD32" s="176"/>
      <c r="AE32" s="172"/>
      <c r="AF32" s="174"/>
      <c r="AG32" s="176"/>
    </row>
    <row r="33" spans="1:33" ht="2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2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90" t="s">
        <v>77</v>
      </c>
      <c r="L34" s="190"/>
      <c r="M34" s="190"/>
      <c r="N34" s="190"/>
      <c r="O34" s="190"/>
      <c r="P34" s="190"/>
      <c r="Q34" s="190"/>
      <c r="R34" s="190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20.25">
      <c r="A35" s="24"/>
      <c r="B35" s="26"/>
      <c r="C35" s="26"/>
      <c r="D35" s="26"/>
      <c r="E35" s="26"/>
      <c r="F35" s="26"/>
      <c r="G35" s="26"/>
      <c r="H35" s="26"/>
      <c r="I35" s="26"/>
      <c r="J35" s="27" t="s">
        <v>50</v>
      </c>
      <c r="K35" s="190"/>
      <c r="L35" s="190"/>
      <c r="M35" s="190"/>
      <c r="N35" s="190"/>
      <c r="O35" s="190"/>
      <c r="P35" s="190"/>
      <c r="Q35" s="190"/>
      <c r="R35" s="190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2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2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66" t="s">
        <v>52</v>
      </c>
      <c r="AG37" s="47">
        <f>AG25+1</f>
        <v>4</v>
      </c>
    </row>
    <row r="38" spans="1:33" ht="24" thickBot="1">
      <c r="A38" s="23" t="s">
        <v>37</v>
      </c>
      <c r="B38" s="23"/>
      <c r="C38" s="23"/>
      <c r="D38" s="23"/>
      <c r="E38" s="23"/>
      <c r="F38" s="60">
        <f>'16_4 kaavio'!L24</f>
        <v>0</v>
      </c>
      <c r="G38" s="23"/>
      <c r="H38" s="23"/>
      <c r="I38" s="23"/>
      <c r="J38" s="23"/>
      <c r="K38" s="23"/>
      <c r="L38" s="23"/>
      <c r="M38" s="23"/>
      <c r="N38" s="23" t="s">
        <v>23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 t="s">
        <v>23</v>
      </c>
      <c r="AF38" s="23"/>
      <c r="AG38" s="23"/>
    </row>
    <row r="39" spans="5:33" ht="12.75">
      <c r="E39" s="183" t="str">
        <f>Pelit!A8</f>
        <v>W.O.</v>
      </c>
      <c r="F39" s="183"/>
      <c r="G39" s="183"/>
      <c r="H39" s="183"/>
      <c r="I39" s="183"/>
      <c r="J39" s="183"/>
      <c r="K39" s="183"/>
      <c r="L39" s="183"/>
      <c r="N39" s="184"/>
      <c r="O39" s="185"/>
      <c r="P39" s="185"/>
      <c r="Q39" s="186"/>
      <c r="V39" s="183" t="str">
        <f>Pelit!F8</f>
        <v>W.O.</v>
      </c>
      <c r="W39" s="183"/>
      <c r="X39" s="183"/>
      <c r="Y39" s="183"/>
      <c r="Z39" s="183"/>
      <c r="AA39" s="183"/>
      <c r="AB39" s="183"/>
      <c r="AC39" s="183"/>
      <c r="AE39" s="184"/>
      <c r="AF39" s="185"/>
      <c r="AG39" s="186"/>
    </row>
    <row r="40" spans="1:33" ht="21" thickBot="1">
      <c r="A40" s="182" t="s">
        <v>75</v>
      </c>
      <c r="B40" s="182"/>
      <c r="C40" s="182"/>
      <c r="D40" s="182"/>
      <c r="E40" s="183"/>
      <c r="F40" s="183"/>
      <c r="G40" s="183"/>
      <c r="H40" s="183"/>
      <c r="I40" s="183"/>
      <c r="J40" s="183"/>
      <c r="K40" s="183"/>
      <c r="L40" s="183"/>
      <c r="N40" s="187"/>
      <c r="O40" s="188"/>
      <c r="P40" s="188"/>
      <c r="Q40" s="189"/>
      <c r="R40" s="182" t="s">
        <v>76</v>
      </c>
      <c r="S40" s="182"/>
      <c r="T40" s="182"/>
      <c r="U40" s="182"/>
      <c r="V40" s="183"/>
      <c r="W40" s="183"/>
      <c r="X40" s="183"/>
      <c r="Y40" s="183"/>
      <c r="Z40" s="183"/>
      <c r="AA40" s="183"/>
      <c r="AB40" s="183"/>
      <c r="AC40" s="183"/>
      <c r="AD40" s="24"/>
      <c r="AE40" s="187"/>
      <c r="AF40" s="188"/>
      <c r="AG40" s="189"/>
    </row>
    <row r="41" ht="13.5" thickBot="1"/>
    <row r="42" spans="1:33" ht="24" thickBot="1">
      <c r="A42" s="181" t="s">
        <v>39</v>
      </c>
      <c r="B42" s="181"/>
      <c r="C42" s="181"/>
      <c r="D42" s="181" t="s">
        <v>40</v>
      </c>
      <c r="E42" s="181"/>
      <c r="F42" s="181"/>
      <c r="G42" s="181" t="s">
        <v>41</v>
      </c>
      <c r="H42" s="181"/>
      <c r="I42" s="181"/>
      <c r="J42" s="181" t="s">
        <v>42</v>
      </c>
      <c r="K42" s="181"/>
      <c r="L42" s="181"/>
      <c r="M42" s="181" t="s">
        <v>43</v>
      </c>
      <c r="N42" s="181"/>
      <c r="O42" s="181"/>
      <c r="P42" s="181" t="s">
        <v>44</v>
      </c>
      <c r="Q42" s="181"/>
      <c r="R42" s="181"/>
      <c r="S42" s="181" t="s">
        <v>45</v>
      </c>
      <c r="T42" s="181"/>
      <c r="U42" s="181"/>
      <c r="V42" s="181" t="s">
        <v>46</v>
      </c>
      <c r="W42" s="181"/>
      <c r="X42" s="181"/>
      <c r="Y42" s="181" t="s">
        <v>47</v>
      </c>
      <c r="Z42" s="181"/>
      <c r="AA42" s="181"/>
      <c r="AB42" s="181" t="s">
        <v>48</v>
      </c>
      <c r="AC42" s="181"/>
      <c r="AD42" s="181"/>
      <c r="AE42" s="181" t="s">
        <v>49</v>
      </c>
      <c r="AF42" s="181"/>
      <c r="AG42" s="181"/>
    </row>
    <row r="43" spans="1:33" ht="12.75">
      <c r="A43" s="179"/>
      <c r="B43" s="173" t="s">
        <v>26</v>
      </c>
      <c r="C43" s="175"/>
      <c r="D43" s="171"/>
      <c r="E43" s="177" t="s">
        <v>26</v>
      </c>
      <c r="F43" s="175"/>
      <c r="G43" s="171"/>
      <c r="H43" s="173" t="s">
        <v>26</v>
      </c>
      <c r="I43" s="175"/>
      <c r="J43" s="171"/>
      <c r="K43" s="173" t="s">
        <v>26</v>
      </c>
      <c r="L43" s="175"/>
      <c r="M43" s="171"/>
      <c r="N43" s="173" t="s">
        <v>26</v>
      </c>
      <c r="O43" s="175"/>
      <c r="P43" s="179"/>
      <c r="Q43" s="173" t="s">
        <v>26</v>
      </c>
      <c r="R43" s="175"/>
      <c r="S43" s="171"/>
      <c r="T43" s="177" t="s">
        <v>26</v>
      </c>
      <c r="U43" s="175"/>
      <c r="V43" s="171"/>
      <c r="W43" s="173" t="s">
        <v>26</v>
      </c>
      <c r="X43" s="175"/>
      <c r="Y43" s="171"/>
      <c r="Z43" s="173" t="s">
        <v>26</v>
      </c>
      <c r="AA43" s="175"/>
      <c r="AB43" s="171"/>
      <c r="AC43" s="173" t="s">
        <v>26</v>
      </c>
      <c r="AD43" s="175"/>
      <c r="AE43" s="171"/>
      <c r="AF43" s="173" t="s">
        <v>26</v>
      </c>
      <c r="AG43" s="175"/>
    </row>
    <row r="44" spans="1:33" ht="13.5" thickBot="1">
      <c r="A44" s="180"/>
      <c r="B44" s="174"/>
      <c r="C44" s="176"/>
      <c r="D44" s="172"/>
      <c r="E44" s="178"/>
      <c r="F44" s="176"/>
      <c r="G44" s="172"/>
      <c r="H44" s="174"/>
      <c r="I44" s="176"/>
      <c r="J44" s="172"/>
      <c r="K44" s="174"/>
      <c r="L44" s="176"/>
      <c r="M44" s="172"/>
      <c r="N44" s="174"/>
      <c r="O44" s="176"/>
      <c r="P44" s="180"/>
      <c r="Q44" s="174"/>
      <c r="R44" s="176"/>
      <c r="S44" s="172"/>
      <c r="T44" s="178"/>
      <c r="U44" s="176"/>
      <c r="V44" s="172"/>
      <c r="W44" s="174"/>
      <c r="X44" s="176"/>
      <c r="Y44" s="172"/>
      <c r="Z44" s="174"/>
      <c r="AA44" s="176"/>
      <c r="AB44" s="172"/>
      <c r="AC44" s="174"/>
      <c r="AD44" s="176"/>
      <c r="AE44" s="172"/>
      <c r="AF44" s="174"/>
      <c r="AG44" s="176"/>
    </row>
    <row r="46" spans="11:18" ht="12.75">
      <c r="K46" s="190" t="s">
        <v>77</v>
      </c>
      <c r="L46" s="190"/>
      <c r="M46" s="190"/>
      <c r="N46" s="190"/>
      <c r="O46" s="190"/>
      <c r="P46" s="190"/>
      <c r="Q46" s="190"/>
      <c r="R46" s="190"/>
    </row>
    <row r="47" spans="1:33" ht="20.25">
      <c r="A47" s="24"/>
      <c r="B47" s="24"/>
      <c r="C47" s="24"/>
      <c r="D47" s="24"/>
      <c r="E47" s="24"/>
      <c r="F47" s="24"/>
      <c r="G47" s="24"/>
      <c r="H47" s="24"/>
      <c r="I47" s="24"/>
      <c r="J47" s="27" t="s">
        <v>50</v>
      </c>
      <c r="K47" s="190"/>
      <c r="L47" s="190"/>
      <c r="M47" s="190"/>
      <c r="N47" s="190"/>
      <c r="O47" s="190"/>
      <c r="P47" s="190"/>
      <c r="Q47" s="190"/>
      <c r="R47" s="190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ht="20.25">
      <c r="A48" s="24"/>
    </row>
    <row r="49" spans="32:33" ht="12.75">
      <c r="AF49" s="66" t="s">
        <v>52</v>
      </c>
      <c r="AG49" s="47">
        <f>AG37+1</f>
        <v>5</v>
      </c>
    </row>
    <row r="50" spans="1:33" ht="24" thickBot="1">
      <c r="A50" s="23" t="s">
        <v>37</v>
      </c>
      <c r="B50" s="23"/>
      <c r="C50" s="23"/>
      <c r="D50" s="23"/>
      <c r="E50" s="23"/>
      <c r="F50" s="60">
        <f>'16_4 kaavio'!L34</f>
        <v>0</v>
      </c>
      <c r="G50" s="23"/>
      <c r="H50" s="23"/>
      <c r="I50" s="23"/>
      <c r="J50" s="23"/>
      <c r="K50" s="23"/>
      <c r="L50" s="23"/>
      <c r="M50" s="23"/>
      <c r="N50" s="23" t="s">
        <v>23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 t="s">
        <v>23</v>
      </c>
      <c r="AF50" s="23"/>
      <c r="AG50" s="23"/>
    </row>
    <row r="51" spans="5:33" ht="12.75">
      <c r="E51" s="183" t="str">
        <f>Pelit!A9</f>
        <v>W.O.</v>
      </c>
      <c r="F51" s="183"/>
      <c r="G51" s="183"/>
      <c r="H51" s="183"/>
      <c r="I51" s="183"/>
      <c r="J51" s="183"/>
      <c r="K51" s="183"/>
      <c r="L51" s="183"/>
      <c r="N51" s="184"/>
      <c r="O51" s="185"/>
      <c r="P51" s="185"/>
      <c r="Q51" s="186"/>
      <c r="V51" s="183" t="str">
        <f>Pelit!F9</f>
        <v>W.O.</v>
      </c>
      <c r="W51" s="183"/>
      <c r="X51" s="183"/>
      <c r="Y51" s="183"/>
      <c r="Z51" s="183"/>
      <c r="AA51" s="183"/>
      <c r="AB51" s="183"/>
      <c r="AC51" s="183"/>
      <c r="AE51" s="184"/>
      <c r="AF51" s="185"/>
      <c r="AG51" s="186"/>
    </row>
    <row r="52" spans="1:33" ht="21" thickBot="1">
      <c r="A52" s="182" t="s">
        <v>75</v>
      </c>
      <c r="B52" s="182"/>
      <c r="C52" s="182"/>
      <c r="D52" s="182"/>
      <c r="E52" s="183"/>
      <c r="F52" s="183"/>
      <c r="G52" s="183"/>
      <c r="H52" s="183"/>
      <c r="I52" s="183"/>
      <c r="J52" s="183"/>
      <c r="K52" s="183"/>
      <c r="L52" s="183"/>
      <c r="N52" s="187"/>
      <c r="O52" s="188"/>
      <c r="P52" s="188"/>
      <c r="Q52" s="189"/>
      <c r="R52" s="182" t="s">
        <v>76</v>
      </c>
      <c r="S52" s="182"/>
      <c r="T52" s="182"/>
      <c r="U52" s="182"/>
      <c r="V52" s="183"/>
      <c r="W52" s="183"/>
      <c r="X52" s="183"/>
      <c r="Y52" s="183"/>
      <c r="Z52" s="183"/>
      <c r="AA52" s="183"/>
      <c r="AB52" s="183"/>
      <c r="AC52" s="183"/>
      <c r="AD52" s="24"/>
      <c r="AE52" s="187"/>
      <c r="AF52" s="188"/>
      <c r="AG52" s="189"/>
    </row>
    <row r="53" ht="13.5" thickBot="1"/>
    <row r="54" spans="1:33" ht="24" thickBot="1">
      <c r="A54" s="181" t="s">
        <v>39</v>
      </c>
      <c r="B54" s="181"/>
      <c r="C54" s="181"/>
      <c r="D54" s="181" t="s">
        <v>40</v>
      </c>
      <c r="E54" s="181"/>
      <c r="F54" s="181"/>
      <c r="G54" s="181" t="s">
        <v>41</v>
      </c>
      <c r="H54" s="181"/>
      <c r="I54" s="181"/>
      <c r="J54" s="181" t="s">
        <v>42</v>
      </c>
      <c r="K54" s="181"/>
      <c r="L54" s="181"/>
      <c r="M54" s="181" t="s">
        <v>43</v>
      </c>
      <c r="N54" s="181"/>
      <c r="O54" s="181"/>
      <c r="P54" s="181" t="s">
        <v>44</v>
      </c>
      <c r="Q54" s="181"/>
      <c r="R54" s="181"/>
      <c r="S54" s="181" t="s">
        <v>45</v>
      </c>
      <c r="T54" s="181"/>
      <c r="U54" s="181"/>
      <c r="V54" s="181" t="s">
        <v>46</v>
      </c>
      <c r="W54" s="181"/>
      <c r="X54" s="181"/>
      <c r="Y54" s="181" t="s">
        <v>47</v>
      </c>
      <c r="Z54" s="181"/>
      <c r="AA54" s="181"/>
      <c r="AB54" s="181" t="s">
        <v>48</v>
      </c>
      <c r="AC54" s="181"/>
      <c r="AD54" s="181"/>
      <c r="AE54" s="181" t="s">
        <v>49</v>
      </c>
      <c r="AF54" s="181"/>
      <c r="AG54" s="181"/>
    </row>
    <row r="55" spans="1:33" ht="12.75">
      <c r="A55" s="179"/>
      <c r="B55" s="173" t="s">
        <v>26</v>
      </c>
      <c r="C55" s="175"/>
      <c r="D55" s="171"/>
      <c r="E55" s="177" t="s">
        <v>26</v>
      </c>
      <c r="F55" s="175"/>
      <c r="G55" s="171"/>
      <c r="H55" s="173" t="s">
        <v>26</v>
      </c>
      <c r="I55" s="175"/>
      <c r="J55" s="171"/>
      <c r="K55" s="173" t="s">
        <v>26</v>
      </c>
      <c r="L55" s="175"/>
      <c r="M55" s="171"/>
      <c r="N55" s="173" t="s">
        <v>26</v>
      </c>
      <c r="O55" s="175"/>
      <c r="P55" s="179"/>
      <c r="Q55" s="173" t="s">
        <v>26</v>
      </c>
      <c r="R55" s="175"/>
      <c r="S55" s="171"/>
      <c r="T55" s="177" t="s">
        <v>26</v>
      </c>
      <c r="U55" s="175"/>
      <c r="V55" s="171"/>
      <c r="W55" s="173" t="s">
        <v>26</v>
      </c>
      <c r="X55" s="175"/>
      <c r="Y55" s="171"/>
      <c r="Z55" s="173" t="s">
        <v>26</v>
      </c>
      <c r="AA55" s="175"/>
      <c r="AB55" s="171"/>
      <c r="AC55" s="173" t="s">
        <v>26</v>
      </c>
      <c r="AD55" s="175"/>
      <c r="AE55" s="171"/>
      <c r="AF55" s="173" t="s">
        <v>26</v>
      </c>
      <c r="AG55" s="175"/>
    </row>
    <row r="56" spans="1:33" ht="13.5" thickBot="1">
      <c r="A56" s="180"/>
      <c r="B56" s="174"/>
      <c r="C56" s="176"/>
      <c r="D56" s="172"/>
      <c r="E56" s="178"/>
      <c r="F56" s="176"/>
      <c r="G56" s="172"/>
      <c r="H56" s="174"/>
      <c r="I56" s="176"/>
      <c r="J56" s="172"/>
      <c r="K56" s="174"/>
      <c r="L56" s="176"/>
      <c r="M56" s="172"/>
      <c r="N56" s="174"/>
      <c r="O56" s="176"/>
      <c r="P56" s="180"/>
      <c r="Q56" s="174"/>
      <c r="R56" s="176"/>
      <c r="S56" s="172"/>
      <c r="T56" s="178"/>
      <c r="U56" s="176"/>
      <c r="V56" s="172"/>
      <c r="W56" s="174"/>
      <c r="X56" s="176"/>
      <c r="Y56" s="172"/>
      <c r="Z56" s="174"/>
      <c r="AA56" s="176"/>
      <c r="AB56" s="172"/>
      <c r="AC56" s="174"/>
      <c r="AD56" s="176"/>
      <c r="AE56" s="172"/>
      <c r="AF56" s="174"/>
      <c r="AG56" s="176"/>
    </row>
    <row r="57" spans="1:33" ht="2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2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20.25">
      <c r="A59" s="24"/>
      <c r="B59" s="26"/>
      <c r="C59" s="26"/>
      <c r="D59" s="26"/>
      <c r="E59" s="26"/>
      <c r="F59" s="26"/>
      <c r="G59" s="26"/>
      <c r="H59" s="26"/>
      <c r="I59" s="26"/>
      <c r="J59" s="27" t="s">
        <v>50</v>
      </c>
      <c r="K59" s="25" t="s">
        <v>51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2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2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66" t="s">
        <v>52</v>
      </c>
      <c r="AG61" s="47">
        <f>AG49+1</f>
        <v>6</v>
      </c>
    </row>
    <row r="62" spans="1:33" ht="24" thickBot="1">
      <c r="A62" s="23" t="s">
        <v>37</v>
      </c>
      <c r="B62" s="23"/>
      <c r="C62" s="23"/>
      <c r="D62" s="23"/>
      <c r="E62" s="23"/>
      <c r="F62" s="60">
        <f>'16_4 kaavio'!L40</f>
        <v>0</v>
      </c>
      <c r="G62" s="23"/>
      <c r="H62" s="23"/>
      <c r="I62" s="23"/>
      <c r="J62" s="23"/>
      <c r="K62" s="23"/>
      <c r="L62" s="23"/>
      <c r="M62" s="23"/>
      <c r="N62" s="23" t="s">
        <v>23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 t="s">
        <v>23</v>
      </c>
      <c r="AF62" s="23"/>
      <c r="AG62" s="23"/>
    </row>
    <row r="63" spans="5:33" ht="12.75">
      <c r="E63" s="183" t="str">
        <f>Pelit!A10</f>
        <v>W.O.</v>
      </c>
      <c r="F63" s="183"/>
      <c r="G63" s="183"/>
      <c r="H63" s="183"/>
      <c r="I63" s="183"/>
      <c r="J63" s="183"/>
      <c r="K63" s="183"/>
      <c r="L63" s="183"/>
      <c r="N63" s="184"/>
      <c r="O63" s="185"/>
      <c r="P63" s="185"/>
      <c r="Q63" s="186"/>
      <c r="V63" s="183" t="str">
        <f>Pelit!F10</f>
        <v>W.O.</v>
      </c>
      <c r="W63" s="183"/>
      <c r="X63" s="183"/>
      <c r="Y63" s="183"/>
      <c r="Z63" s="183"/>
      <c r="AA63" s="183"/>
      <c r="AB63" s="183"/>
      <c r="AC63" s="183"/>
      <c r="AE63" s="184"/>
      <c r="AF63" s="185"/>
      <c r="AG63" s="186"/>
    </row>
    <row r="64" spans="1:33" ht="21" thickBot="1">
      <c r="A64" s="182" t="s">
        <v>75</v>
      </c>
      <c r="B64" s="182"/>
      <c r="C64" s="182"/>
      <c r="D64" s="182"/>
      <c r="E64" s="183"/>
      <c r="F64" s="183"/>
      <c r="G64" s="183"/>
      <c r="H64" s="183"/>
      <c r="I64" s="183"/>
      <c r="J64" s="183"/>
      <c r="K64" s="183"/>
      <c r="L64" s="183"/>
      <c r="N64" s="187"/>
      <c r="O64" s="188"/>
      <c r="P64" s="188"/>
      <c r="Q64" s="189"/>
      <c r="R64" s="182" t="s">
        <v>76</v>
      </c>
      <c r="S64" s="182"/>
      <c r="T64" s="182"/>
      <c r="U64" s="182"/>
      <c r="V64" s="183"/>
      <c r="W64" s="183"/>
      <c r="X64" s="183"/>
      <c r="Y64" s="183"/>
      <c r="Z64" s="183"/>
      <c r="AA64" s="183"/>
      <c r="AB64" s="183"/>
      <c r="AC64" s="183"/>
      <c r="AD64" s="24"/>
      <c r="AE64" s="187"/>
      <c r="AF64" s="188"/>
      <c r="AG64" s="189"/>
    </row>
    <row r="65" ht="13.5" thickBot="1"/>
    <row r="66" spans="1:33" ht="24" thickBot="1">
      <c r="A66" s="181" t="s">
        <v>39</v>
      </c>
      <c r="B66" s="181"/>
      <c r="C66" s="181"/>
      <c r="D66" s="181" t="s">
        <v>40</v>
      </c>
      <c r="E66" s="181"/>
      <c r="F66" s="181"/>
      <c r="G66" s="181" t="s">
        <v>41</v>
      </c>
      <c r="H66" s="181"/>
      <c r="I66" s="181"/>
      <c r="J66" s="181" t="s">
        <v>42</v>
      </c>
      <c r="K66" s="181"/>
      <c r="L66" s="181"/>
      <c r="M66" s="181" t="s">
        <v>43</v>
      </c>
      <c r="N66" s="181"/>
      <c r="O66" s="181"/>
      <c r="P66" s="181" t="s">
        <v>44</v>
      </c>
      <c r="Q66" s="181"/>
      <c r="R66" s="181"/>
      <c r="S66" s="181" t="s">
        <v>45</v>
      </c>
      <c r="T66" s="181"/>
      <c r="U66" s="181"/>
      <c r="V66" s="181" t="s">
        <v>46</v>
      </c>
      <c r="W66" s="181"/>
      <c r="X66" s="181"/>
      <c r="Y66" s="181" t="s">
        <v>47</v>
      </c>
      <c r="Z66" s="181"/>
      <c r="AA66" s="181"/>
      <c r="AB66" s="181" t="s">
        <v>48</v>
      </c>
      <c r="AC66" s="181"/>
      <c r="AD66" s="181"/>
      <c r="AE66" s="181" t="s">
        <v>49</v>
      </c>
      <c r="AF66" s="181"/>
      <c r="AG66" s="181"/>
    </row>
    <row r="67" spans="1:33" ht="12.75">
      <c r="A67" s="179"/>
      <c r="B67" s="173" t="s">
        <v>26</v>
      </c>
      <c r="C67" s="175"/>
      <c r="D67" s="171"/>
      <c r="E67" s="177" t="s">
        <v>26</v>
      </c>
      <c r="F67" s="175"/>
      <c r="G67" s="171"/>
      <c r="H67" s="173" t="s">
        <v>26</v>
      </c>
      <c r="I67" s="175"/>
      <c r="J67" s="171"/>
      <c r="K67" s="173" t="s">
        <v>26</v>
      </c>
      <c r="L67" s="175"/>
      <c r="M67" s="171"/>
      <c r="N67" s="173" t="s">
        <v>26</v>
      </c>
      <c r="O67" s="175"/>
      <c r="P67" s="179"/>
      <c r="Q67" s="173" t="s">
        <v>26</v>
      </c>
      <c r="R67" s="175"/>
      <c r="S67" s="171"/>
      <c r="T67" s="177" t="s">
        <v>26</v>
      </c>
      <c r="U67" s="175"/>
      <c r="V67" s="171"/>
      <c r="W67" s="173" t="s">
        <v>26</v>
      </c>
      <c r="X67" s="175"/>
      <c r="Y67" s="171"/>
      <c r="Z67" s="173" t="s">
        <v>26</v>
      </c>
      <c r="AA67" s="175"/>
      <c r="AB67" s="171"/>
      <c r="AC67" s="173" t="s">
        <v>26</v>
      </c>
      <c r="AD67" s="175"/>
      <c r="AE67" s="171"/>
      <c r="AF67" s="173" t="s">
        <v>26</v>
      </c>
      <c r="AG67" s="175"/>
    </row>
    <row r="68" spans="1:33" ht="13.5" thickBot="1">
      <c r="A68" s="180"/>
      <c r="B68" s="174"/>
      <c r="C68" s="176"/>
      <c r="D68" s="172"/>
      <c r="E68" s="178"/>
      <c r="F68" s="176"/>
      <c r="G68" s="172"/>
      <c r="H68" s="174"/>
      <c r="I68" s="176"/>
      <c r="J68" s="172"/>
      <c r="K68" s="174"/>
      <c r="L68" s="176"/>
      <c r="M68" s="172"/>
      <c r="N68" s="174"/>
      <c r="O68" s="176"/>
      <c r="P68" s="180"/>
      <c r="Q68" s="174"/>
      <c r="R68" s="176"/>
      <c r="S68" s="172"/>
      <c r="T68" s="178"/>
      <c r="U68" s="176"/>
      <c r="V68" s="172"/>
      <c r="W68" s="174"/>
      <c r="X68" s="176"/>
      <c r="Y68" s="172"/>
      <c r="Z68" s="174"/>
      <c r="AA68" s="176"/>
      <c r="AB68" s="172"/>
      <c r="AC68" s="174"/>
      <c r="AD68" s="176"/>
      <c r="AE68" s="172"/>
      <c r="AF68" s="174"/>
      <c r="AG68" s="176"/>
    </row>
    <row r="70" spans="11:18" ht="12.75">
      <c r="K70" s="190" t="s">
        <v>77</v>
      </c>
      <c r="L70" s="190"/>
      <c r="M70" s="190"/>
      <c r="N70" s="190"/>
      <c r="O70" s="190"/>
      <c r="P70" s="190"/>
      <c r="Q70" s="190"/>
      <c r="R70" s="190"/>
    </row>
    <row r="71" spans="1:33" ht="20.25">
      <c r="A71" s="24"/>
      <c r="B71" s="24"/>
      <c r="C71" s="24"/>
      <c r="D71" s="24"/>
      <c r="E71" s="24"/>
      <c r="F71" s="24"/>
      <c r="G71" s="24"/>
      <c r="H71" s="24"/>
      <c r="I71" s="24"/>
      <c r="J71" s="27" t="s">
        <v>50</v>
      </c>
      <c r="K71" s="190"/>
      <c r="L71" s="190"/>
      <c r="M71" s="190"/>
      <c r="N71" s="190"/>
      <c r="O71" s="190"/>
      <c r="P71" s="190"/>
      <c r="Q71" s="190"/>
      <c r="R71" s="190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ht="20.25">
      <c r="A72" s="24"/>
    </row>
    <row r="73" spans="32:33" ht="18.75" customHeight="1">
      <c r="AF73" s="66" t="s">
        <v>52</v>
      </c>
      <c r="AG73" s="47">
        <f>AG61+1</f>
        <v>7</v>
      </c>
    </row>
    <row r="74" spans="1:33" ht="24" thickBot="1">
      <c r="A74" s="23" t="s">
        <v>37</v>
      </c>
      <c r="B74" s="23"/>
      <c r="C74" s="23"/>
      <c r="D74" s="23"/>
      <c r="E74" s="23"/>
      <c r="F74" s="60">
        <f>'16_4 kaavio'!L46</f>
        <v>0</v>
      </c>
      <c r="G74" s="23"/>
      <c r="H74" s="23"/>
      <c r="I74" s="23"/>
      <c r="J74" s="23"/>
      <c r="K74" s="23"/>
      <c r="L74" s="23"/>
      <c r="M74" s="23"/>
      <c r="N74" s="23" t="s">
        <v>23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 t="s">
        <v>23</v>
      </c>
      <c r="AF74" s="23"/>
      <c r="AG74" s="23"/>
    </row>
    <row r="75" spans="5:33" ht="12.75">
      <c r="E75" s="183" t="str">
        <f>Pelit!A11</f>
        <v>W.O.</v>
      </c>
      <c r="F75" s="183"/>
      <c r="G75" s="183"/>
      <c r="H75" s="183"/>
      <c r="I75" s="183"/>
      <c r="J75" s="183"/>
      <c r="K75" s="183"/>
      <c r="L75" s="183"/>
      <c r="N75" s="184"/>
      <c r="O75" s="185"/>
      <c r="P75" s="185"/>
      <c r="Q75" s="186"/>
      <c r="V75" s="183" t="str">
        <f>Pelit!F11</f>
        <v>W.O.</v>
      </c>
      <c r="W75" s="183"/>
      <c r="X75" s="183"/>
      <c r="Y75" s="183"/>
      <c r="Z75" s="183"/>
      <c r="AA75" s="183"/>
      <c r="AB75" s="183"/>
      <c r="AC75" s="183"/>
      <c r="AE75" s="184"/>
      <c r="AF75" s="185"/>
      <c r="AG75" s="186"/>
    </row>
    <row r="76" spans="1:33" ht="21" thickBot="1">
      <c r="A76" s="182" t="s">
        <v>75</v>
      </c>
      <c r="B76" s="182"/>
      <c r="C76" s="182"/>
      <c r="D76" s="182"/>
      <c r="E76" s="183"/>
      <c r="F76" s="183"/>
      <c r="G76" s="183"/>
      <c r="H76" s="183"/>
      <c r="I76" s="183"/>
      <c r="J76" s="183"/>
      <c r="K76" s="183"/>
      <c r="L76" s="183"/>
      <c r="N76" s="187"/>
      <c r="O76" s="188"/>
      <c r="P76" s="188"/>
      <c r="Q76" s="189"/>
      <c r="R76" s="182" t="s">
        <v>76</v>
      </c>
      <c r="S76" s="182"/>
      <c r="T76" s="182"/>
      <c r="U76" s="182"/>
      <c r="V76" s="183"/>
      <c r="W76" s="183"/>
      <c r="X76" s="183"/>
      <c r="Y76" s="183"/>
      <c r="Z76" s="183"/>
      <c r="AA76" s="183"/>
      <c r="AB76" s="183"/>
      <c r="AC76" s="183"/>
      <c r="AD76" s="24"/>
      <c r="AE76" s="187"/>
      <c r="AF76" s="188"/>
      <c r="AG76" s="189"/>
    </row>
    <row r="77" ht="13.5" thickBot="1"/>
    <row r="78" spans="1:33" ht="24" thickBot="1">
      <c r="A78" s="181" t="s">
        <v>39</v>
      </c>
      <c r="B78" s="181"/>
      <c r="C78" s="181"/>
      <c r="D78" s="181" t="s">
        <v>40</v>
      </c>
      <c r="E78" s="181"/>
      <c r="F78" s="181"/>
      <c r="G78" s="181" t="s">
        <v>41</v>
      </c>
      <c r="H78" s="181"/>
      <c r="I78" s="181"/>
      <c r="J78" s="181" t="s">
        <v>42</v>
      </c>
      <c r="K78" s="181"/>
      <c r="L78" s="181"/>
      <c r="M78" s="181" t="s">
        <v>43</v>
      </c>
      <c r="N78" s="181"/>
      <c r="O78" s="181"/>
      <c r="P78" s="181" t="s">
        <v>44</v>
      </c>
      <c r="Q78" s="181"/>
      <c r="R78" s="181"/>
      <c r="S78" s="181" t="s">
        <v>45</v>
      </c>
      <c r="T78" s="181"/>
      <c r="U78" s="181"/>
      <c r="V78" s="181" t="s">
        <v>46</v>
      </c>
      <c r="W78" s="181"/>
      <c r="X78" s="181"/>
      <c r="Y78" s="181" t="s">
        <v>47</v>
      </c>
      <c r="Z78" s="181"/>
      <c r="AA78" s="181"/>
      <c r="AB78" s="181" t="s">
        <v>48</v>
      </c>
      <c r="AC78" s="181"/>
      <c r="AD78" s="181"/>
      <c r="AE78" s="181" t="s">
        <v>49</v>
      </c>
      <c r="AF78" s="181"/>
      <c r="AG78" s="181"/>
    </row>
    <row r="79" spans="1:33" ht="12.75">
      <c r="A79" s="179"/>
      <c r="B79" s="173" t="s">
        <v>26</v>
      </c>
      <c r="C79" s="175"/>
      <c r="D79" s="171"/>
      <c r="E79" s="177" t="s">
        <v>26</v>
      </c>
      <c r="F79" s="175"/>
      <c r="G79" s="171"/>
      <c r="H79" s="173" t="s">
        <v>26</v>
      </c>
      <c r="I79" s="175"/>
      <c r="J79" s="171"/>
      <c r="K79" s="173" t="s">
        <v>26</v>
      </c>
      <c r="L79" s="175"/>
      <c r="M79" s="171"/>
      <c r="N79" s="173" t="s">
        <v>26</v>
      </c>
      <c r="O79" s="175"/>
      <c r="P79" s="179"/>
      <c r="Q79" s="173" t="s">
        <v>26</v>
      </c>
      <c r="R79" s="175"/>
      <c r="S79" s="171"/>
      <c r="T79" s="177" t="s">
        <v>26</v>
      </c>
      <c r="U79" s="175"/>
      <c r="V79" s="171"/>
      <c r="W79" s="173" t="s">
        <v>26</v>
      </c>
      <c r="X79" s="175"/>
      <c r="Y79" s="171"/>
      <c r="Z79" s="173" t="s">
        <v>26</v>
      </c>
      <c r="AA79" s="175"/>
      <c r="AB79" s="171"/>
      <c r="AC79" s="173" t="s">
        <v>26</v>
      </c>
      <c r="AD79" s="175"/>
      <c r="AE79" s="171"/>
      <c r="AF79" s="173" t="s">
        <v>26</v>
      </c>
      <c r="AG79" s="175"/>
    </row>
    <row r="80" spans="1:33" ht="13.5" thickBot="1">
      <c r="A80" s="180"/>
      <c r="B80" s="174"/>
      <c r="C80" s="176"/>
      <c r="D80" s="172"/>
      <c r="E80" s="178"/>
      <c r="F80" s="176"/>
      <c r="G80" s="172"/>
      <c r="H80" s="174"/>
      <c r="I80" s="176"/>
      <c r="J80" s="172"/>
      <c r="K80" s="174"/>
      <c r="L80" s="176"/>
      <c r="M80" s="172"/>
      <c r="N80" s="174"/>
      <c r="O80" s="176"/>
      <c r="P80" s="180"/>
      <c r="Q80" s="174"/>
      <c r="R80" s="176"/>
      <c r="S80" s="172"/>
      <c r="T80" s="178"/>
      <c r="U80" s="176"/>
      <c r="V80" s="172"/>
      <c r="W80" s="174"/>
      <c r="X80" s="176"/>
      <c r="Y80" s="172"/>
      <c r="Z80" s="174"/>
      <c r="AA80" s="176"/>
      <c r="AB80" s="172"/>
      <c r="AC80" s="174"/>
      <c r="AD80" s="176"/>
      <c r="AE80" s="172"/>
      <c r="AF80" s="174"/>
      <c r="AG80" s="176"/>
    </row>
    <row r="81" spans="1:33" ht="2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2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190" t="s">
        <v>77</v>
      </c>
      <c r="L82" s="190"/>
      <c r="M82" s="190"/>
      <c r="N82" s="190"/>
      <c r="O82" s="190"/>
      <c r="P82" s="190"/>
      <c r="Q82" s="190"/>
      <c r="R82" s="190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20.25">
      <c r="A83" s="24"/>
      <c r="B83" s="26"/>
      <c r="C83" s="26"/>
      <c r="D83" s="26"/>
      <c r="E83" s="26"/>
      <c r="F83" s="26"/>
      <c r="G83" s="26"/>
      <c r="H83" s="26"/>
      <c r="I83" s="26"/>
      <c r="J83" s="27" t="s">
        <v>50</v>
      </c>
      <c r="K83" s="190"/>
      <c r="L83" s="190"/>
      <c r="M83" s="190"/>
      <c r="N83" s="190"/>
      <c r="O83" s="190"/>
      <c r="P83" s="190"/>
      <c r="Q83" s="190"/>
      <c r="R83" s="190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2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9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65" t="s">
        <v>52</v>
      </c>
      <c r="AG85" s="47">
        <f>AG73+1</f>
        <v>8</v>
      </c>
    </row>
    <row r="86" spans="1:33" ht="24" thickBot="1">
      <c r="A86" s="23" t="s">
        <v>37</v>
      </c>
      <c r="B86" s="23"/>
      <c r="C86" s="23"/>
      <c r="D86" s="23"/>
      <c r="E86" s="23"/>
      <c r="F86" s="60">
        <f>'16_4 kaavio'!L52</f>
        <v>0</v>
      </c>
      <c r="G86" s="23"/>
      <c r="H86" s="23"/>
      <c r="I86" s="23"/>
      <c r="J86" s="23"/>
      <c r="K86" s="23"/>
      <c r="L86" s="23"/>
      <c r="M86" s="23"/>
      <c r="N86" s="23" t="s">
        <v>23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 t="s">
        <v>23</v>
      </c>
      <c r="AF86" s="23"/>
      <c r="AG86" s="23"/>
    </row>
    <row r="87" spans="5:33" ht="12.75">
      <c r="E87" s="183" t="str">
        <f>Pelit!A12</f>
        <v>W.O.</v>
      </c>
      <c r="F87" s="183"/>
      <c r="G87" s="183"/>
      <c r="H87" s="183"/>
      <c r="I87" s="183"/>
      <c r="J87" s="183"/>
      <c r="K87" s="183"/>
      <c r="L87" s="183"/>
      <c r="N87" s="184"/>
      <c r="O87" s="185"/>
      <c r="P87" s="185"/>
      <c r="Q87" s="186"/>
      <c r="V87" s="183" t="str">
        <f>Pelit!F12</f>
        <v>W.O.</v>
      </c>
      <c r="W87" s="183"/>
      <c r="X87" s="183"/>
      <c r="Y87" s="183"/>
      <c r="Z87" s="183"/>
      <c r="AA87" s="183"/>
      <c r="AB87" s="183"/>
      <c r="AC87" s="183"/>
      <c r="AE87" s="184"/>
      <c r="AF87" s="185"/>
      <c r="AG87" s="186"/>
    </row>
    <row r="88" spans="1:33" ht="21" thickBot="1">
      <c r="A88" s="182" t="s">
        <v>75</v>
      </c>
      <c r="B88" s="182"/>
      <c r="C88" s="182"/>
      <c r="D88" s="182"/>
      <c r="E88" s="183"/>
      <c r="F88" s="183"/>
      <c r="G88" s="183"/>
      <c r="H88" s="183"/>
      <c r="I88" s="183"/>
      <c r="J88" s="183"/>
      <c r="K88" s="183"/>
      <c r="L88" s="183"/>
      <c r="N88" s="187"/>
      <c r="O88" s="188"/>
      <c r="P88" s="188"/>
      <c r="Q88" s="189"/>
      <c r="R88" s="182" t="s">
        <v>76</v>
      </c>
      <c r="S88" s="182"/>
      <c r="T88" s="182"/>
      <c r="U88" s="182"/>
      <c r="V88" s="183"/>
      <c r="W88" s="183"/>
      <c r="X88" s="183"/>
      <c r="Y88" s="183"/>
      <c r="Z88" s="183"/>
      <c r="AA88" s="183"/>
      <c r="AB88" s="183"/>
      <c r="AC88" s="183"/>
      <c r="AD88" s="24"/>
      <c r="AE88" s="187"/>
      <c r="AF88" s="188"/>
      <c r="AG88" s="189"/>
    </row>
    <row r="89" ht="13.5" thickBot="1"/>
    <row r="90" spans="1:33" ht="24" thickBot="1">
      <c r="A90" s="181" t="s">
        <v>39</v>
      </c>
      <c r="B90" s="181"/>
      <c r="C90" s="181"/>
      <c r="D90" s="181" t="s">
        <v>40</v>
      </c>
      <c r="E90" s="181"/>
      <c r="F90" s="181"/>
      <c r="G90" s="181" t="s">
        <v>41</v>
      </c>
      <c r="H90" s="181"/>
      <c r="I90" s="181"/>
      <c r="J90" s="181" t="s">
        <v>42</v>
      </c>
      <c r="K90" s="181"/>
      <c r="L90" s="181"/>
      <c r="M90" s="181" t="s">
        <v>43</v>
      </c>
      <c r="N90" s="181"/>
      <c r="O90" s="181"/>
      <c r="P90" s="181" t="s">
        <v>44</v>
      </c>
      <c r="Q90" s="181"/>
      <c r="R90" s="181"/>
      <c r="S90" s="181" t="s">
        <v>45</v>
      </c>
      <c r="T90" s="181"/>
      <c r="U90" s="181"/>
      <c r="V90" s="181" t="s">
        <v>46</v>
      </c>
      <c r="W90" s="181"/>
      <c r="X90" s="181"/>
      <c r="Y90" s="181" t="s">
        <v>47</v>
      </c>
      <c r="Z90" s="181"/>
      <c r="AA90" s="181"/>
      <c r="AB90" s="181" t="s">
        <v>48</v>
      </c>
      <c r="AC90" s="181"/>
      <c r="AD90" s="181"/>
      <c r="AE90" s="181" t="s">
        <v>49</v>
      </c>
      <c r="AF90" s="181"/>
      <c r="AG90" s="181"/>
    </row>
    <row r="91" spans="1:33" ht="12.75">
      <c r="A91" s="179"/>
      <c r="B91" s="173" t="s">
        <v>26</v>
      </c>
      <c r="C91" s="175"/>
      <c r="D91" s="171"/>
      <c r="E91" s="177" t="s">
        <v>26</v>
      </c>
      <c r="F91" s="175"/>
      <c r="G91" s="171"/>
      <c r="H91" s="173" t="s">
        <v>26</v>
      </c>
      <c r="I91" s="175"/>
      <c r="J91" s="171"/>
      <c r="K91" s="173" t="s">
        <v>26</v>
      </c>
      <c r="L91" s="175"/>
      <c r="M91" s="171"/>
      <c r="N91" s="173" t="s">
        <v>26</v>
      </c>
      <c r="O91" s="175"/>
      <c r="P91" s="179"/>
      <c r="Q91" s="173" t="s">
        <v>26</v>
      </c>
      <c r="R91" s="175"/>
      <c r="S91" s="171"/>
      <c r="T91" s="177" t="s">
        <v>26</v>
      </c>
      <c r="U91" s="175"/>
      <c r="V91" s="171"/>
      <c r="W91" s="173" t="s">
        <v>26</v>
      </c>
      <c r="X91" s="175"/>
      <c r="Y91" s="171"/>
      <c r="Z91" s="173" t="s">
        <v>26</v>
      </c>
      <c r="AA91" s="175"/>
      <c r="AB91" s="171"/>
      <c r="AC91" s="173" t="s">
        <v>26</v>
      </c>
      <c r="AD91" s="175"/>
      <c r="AE91" s="171"/>
      <c r="AF91" s="173" t="s">
        <v>26</v>
      </c>
      <c r="AG91" s="175"/>
    </row>
    <row r="92" spans="1:33" ht="13.5" thickBot="1">
      <c r="A92" s="180"/>
      <c r="B92" s="174"/>
      <c r="C92" s="176"/>
      <c r="D92" s="172"/>
      <c r="E92" s="178"/>
      <c r="F92" s="176"/>
      <c r="G92" s="172"/>
      <c r="H92" s="174"/>
      <c r="I92" s="176"/>
      <c r="J92" s="172"/>
      <c r="K92" s="174"/>
      <c r="L92" s="176"/>
      <c r="M92" s="172"/>
      <c r="N92" s="174"/>
      <c r="O92" s="176"/>
      <c r="P92" s="180"/>
      <c r="Q92" s="174"/>
      <c r="R92" s="176"/>
      <c r="S92" s="172"/>
      <c r="T92" s="178"/>
      <c r="U92" s="176"/>
      <c r="V92" s="172"/>
      <c r="W92" s="174"/>
      <c r="X92" s="176"/>
      <c r="Y92" s="172"/>
      <c r="Z92" s="174"/>
      <c r="AA92" s="176"/>
      <c r="AB92" s="172"/>
      <c r="AC92" s="174"/>
      <c r="AD92" s="176"/>
      <c r="AE92" s="172"/>
      <c r="AF92" s="174"/>
      <c r="AG92" s="176"/>
    </row>
    <row r="94" spans="11:18" ht="12.75">
      <c r="K94" s="190" t="s">
        <v>77</v>
      </c>
      <c r="L94" s="190"/>
      <c r="M94" s="190"/>
      <c r="N94" s="190"/>
      <c r="O94" s="190"/>
      <c r="P94" s="190"/>
      <c r="Q94" s="190"/>
      <c r="R94" s="190"/>
    </row>
    <row r="95" spans="1:33" ht="20.25">
      <c r="A95" s="24"/>
      <c r="B95" s="24"/>
      <c r="C95" s="24"/>
      <c r="D95" s="24"/>
      <c r="E95" s="24"/>
      <c r="F95" s="24"/>
      <c r="G95" s="24"/>
      <c r="H95" s="24"/>
      <c r="I95" s="24"/>
      <c r="J95" s="27" t="s">
        <v>50</v>
      </c>
      <c r="K95" s="190"/>
      <c r="L95" s="190"/>
      <c r="M95" s="190"/>
      <c r="N95" s="190"/>
      <c r="O95" s="190"/>
      <c r="P95" s="190"/>
      <c r="Q95" s="190"/>
      <c r="R95" s="190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ht="20.25">
      <c r="A96" s="24"/>
    </row>
    <row r="97" spans="32:33" ht="18" customHeight="1">
      <c r="AF97" s="66" t="s">
        <v>28</v>
      </c>
      <c r="AG97" s="47">
        <f>AG85+1</f>
        <v>9</v>
      </c>
    </row>
    <row r="98" spans="1:33" ht="24" thickBot="1">
      <c r="A98" s="23" t="s">
        <v>37</v>
      </c>
      <c r="B98" s="23"/>
      <c r="C98" s="23"/>
      <c r="D98" s="23"/>
      <c r="E98" s="23"/>
      <c r="F98" s="60">
        <f>'16_4 kaavio'!N9</f>
        <v>0</v>
      </c>
      <c r="G98" s="23"/>
      <c r="H98" s="23"/>
      <c r="I98" s="23"/>
      <c r="J98" s="23"/>
      <c r="K98" s="23"/>
      <c r="L98" s="23"/>
      <c r="M98" s="23"/>
      <c r="N98" s="23" t="s">
        <v>23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 t="s">
        <v>23</v>
      </c>
      <c r="AF98" s="23"/>
      <c r="AG98" s="23"/>
    </row>
    <row r="99" spans="5:33" ht="12.75">
      <c r="E99" s="183">
        <f>Pelit!A15</f>
      </c>
      <c r="F99" s="183"/>
      <c r="G99" s="183"/>
      <c r="H99" s="183"/>
      <c r="I99" s="183"/>
      <c r="J99" s="183"/>
      <c r="K99" s="183"/>
      <c r="L99" s="183"/>
      <c r="N99" s="184"/>
      <c r="O99" s="185"/>
      <c r="P99" s="185"/>
      <c r="Q99" s="186"/>
      <c r="V99" s="183">
        <f>Pelit!F15</f>
      </c>
      <c r="W99" s="183"/>
      <c r="X99" s="183"/>
      <c r="Y99" s="183"/>
      <c r="Z99" s="183"/>
      <c r="AA99" s="183"/>
      <c r="AB99" s="183"/>
      <c r="AC99" s="183"/>
      <c r="AE99" s="184"/>
      <c r="AF99" s="185"/>
      <c r="AG99" s="186"/>
    </row>
    <row r="100" spans="1:33" ht="21" thickBot="1">
      <c r="A100" s="182" t="s">
        <v>75</v>
      </c>
      <c r="B100" s="182"/>
      <c r="C100" s="182"/>
      <c r="D100" s="182"/>
      <c r="E100" s="183"/>
      <c r="F100" s="183"/>
      <c r="G100" s="183"/>
      <c r="H100" s="183"/>
      <c r="I100" s="183"/>
      <c r="J100" s="183"/>
      <c r="K100" s="183"/>
      <c r="L100" s="183"/>
      <c r="N100" s="187"/>
      <c r="O100" s="188"/>
      <c r="P100" s="188"/>
      <c r="Q100" s="189"/>
      <c r="R100" s="182" t="s">
        <v>76</v>
      </c>
      <c r="S100" s="182"/>
      <c r="T100" s="182"/>
      <c r="U100" s="182"/>
      <c r="V100" s="183"/>
      <c r="W100" s="183"/>
      <c r="X100" s="183"/>
      <c r="Y100" s="183"/>
      <c r="Z100" s="183"/>
      <c r="AA100" s="183"/>
      <c r="AB100" s="183"/>
      <c r="AC100" s="183"/>
      <c r="AD100" s="24"/>
      <c r="AE100" s="187"/>
      <c r="AF100" s="188"/>
      <c r="AG100" s="189"/>
    </row>
    <row r="101" ht="13.5" thickBot="1"/>
    <row r="102" spans="1:33" ht="24" thickBot="1">
      <c r="A102" s="181" t="s">
        <v>39</v>
      </c>
      <c r="B102" s="181"/>
      <c r="C102" s="181"/>
      <c r="D102" s="181" t="s">
        <v>40</v>
      </c>
      <c r="E102" s="181"/>
      <c r="F102" s="181"/>
      <c r="G102" s="181" t="s">
        <v>41</v>
      </c>
      <c r="H102" s="181"/>
      <c r="I102" s="181"/>
      <c r="J102" s="181" t="s">
        <v>42</v>
      </c>
      <c r="K102" s="181"/>
      <c r="L102" s="181"/>
      <c r="M102" s="181" t="s">
        <v>43</v>
      </c>
      <c r="N102" s="181"/>
      <c r="O102" s="181"/>
      <c r="P102" s="181" t="s">
        <v>44</v>
      </c>
      <c r="Q102" s="181"/>
      <c r="R102" s="181"/>
      <c r="S102" s="181" t="s">
        <v>45</v>
      </c>
      <c r="T102" s="181"/>
      <c r="U102" s="181"/>
      <c r="V102" s="181" t="s">
        <v>46</v>
      </c>
      <c r="W102" s="181"/>
      <c r="X102" s="181"/>
      <c r="Y102" s="181" t="s">
        <v>47</v>
      </c>
      <c r="Z102" s="181"/>
      <c r="AA102" s="181"/>
      <c r="AB102" s="181" t="s">
        <v>48</v>
      </c>
      <c r="AC102" s="181"/>
      <c r="AD102" s="181"/>
      <c r="AE102" s="181" t="s">
        <v>49</v>
      </c>
      <c r="AF102" s="181"/>
      <c r="AG102" s="181"/>
    </row>
    <row r="103" spans="1:33" ht="12.75">
      <c r="A103" s="179"/>
      <c r="B103" s="173" t="s">
        <v>26</v>
      </c>
      <c r="C103" s="175"/>
      <c r="D103" s="171"/>
      <c r="E103" s="177" t="s">
        <v>26</v>
      </c>
      <c r="F103" s="175"/>
      <c r="G103" s="171"/>
      <c r="H103" s="173" t="s">
        <v>26</v>
      </c>
      <c r="I103" s="175"/>
      <c r="J103" s="171"/>
      <c r="K103" s="173" t="s">
        <v>26</v>
      </c>
      <c r="L103" s="175"/>
      <c r="M103" s="171"/>
      <c r="N103" s="173" t="s">
        <v>26</v>
      </c>
      <c r="O103" s="175"/>
      <c r="P103" s="179"/>
      <c r="Q103" s="173" t="s">
        <v>26</v>
      </c>
      <c r="R103" s="175"/>
      <c r="S103" s="171"/>
      <c r="T103" s="177" t="s">
        <v>26</v>
      </c>
      <c r="U103" s="175"/>
      <c r="V103" s="171"/>
      <c r="W103" s="173" t="s">
        <v>26</v>
      </c>
      <c r="X103" s="175"/>
      <c r="Y103" s="171"/>
      <c r="Z103" s="173" t="s">
        <v>26</v>
      </c>
      <c r="AA103" s="175"/>
      <c r="AB103" s="171"/>
      <c r="AC103" s="173" t="s">
        <v>26</v>
      </c>
      <c r="AD103" s="175"/>
      <c r="AE103" s="171"/>
      <c r="AF103" s="173" t="s">
        <v>26</v>
      </c>
      <c r="AG103" s="175"/>
    </row>
    <row r="104" spans="1:33" ht="13.5" thickBot="1">
      <c r="A104" s="180"/>
      <c r="B104" s="174"/>
      <c r="C104" s="176"/>
      <c r="D104" s="172"/>
      <c r="E104" s="178"/>
      <c r="F104" s="176"/>
      <c r="G104" s="172"/>
      <c r="H104" s="174"/>
      <c r="I104" s="176"/>
      <c r="J104" s="172"/>
      <c r="K104" s="174"/>
      <c r="L104" s="176"/>
      <c r="M104" s="172"/>
      <c r="N104" s="174"/>
      <c r="O104" s="176"/>
      <c r="P104" s="180"/>
      <c r="Q104" s="174"/>
      <c r="R104" s="176"/>
      <c r="S104" s="172"/>
      <c r="T104" s="178"/>
      <c r="U104" s="176"/>
      <c r="V104" s="172"/>
      <c r="W104" s="174"/>
      <c r="X104" s="176"/>
      <c r="Y104" s="172"/>
      <c r="Z104" s="174"/>
      <c r="AA104" s="176"/>
      <c r="AB104" s="172"/>
      <c r="AC104" s="174"/>
      <c r="AD104" s="176"/>
      <c r="AE104" s="172"/>
      <c r="AF104" s="174"/>
      <c r="AG104" s="176"/>
    </row>
    <row r="105" spans="1:33" ht="2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2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190" t="s">
        <v>77</v>
      </c>
      <c r="L106" s="190"/>
      <c r="M106" s="190"/>
      <c r="N106" s="190"/>
      <c r="O106" s="190"/>
      <c r="P106" s="190"/>
      <c r="Q106" s="190"/>
      <c r="R106" s="190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20.25">
      <c r="A107" s="24"/>
      <c r="B107" s="26"/>
      <c r="C107" s="26"/>
      <c r="D107" s="26"/>
      <c r="E107" s="26"/>
      <c r="F107" s="26"/>
      <c r="G107" s="26"/>
      <c r="H107" s="26"/>
      <c r="I107" s="26"/>
      <c r="J107" s="27" t="s">
        <v>50</v>
      </c>
      <c r="K107" s="190"/>
      <c r="L107" s="190"/>
      <c r="M107" s="190"/>
      <c r="N107" s="190"/>
      <c r="O107" s="190"/>
      <c r="P107" s="190"/>
      <c r="Q107" s="190"/>
      <c r="R107" s="190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2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2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66" t="s">
        <v>28</v>
      </c>
      <c r="AG109" s="47">
        <f>AG97+1</f>
        <v>10</v>
      </c>
    </row>
    <row r="110" spans="1:33" ht="24" thickBot="1">
      <c r="A110" s="23" t="s">
        <v>37</v>
      </c>
      <c r="B110" s="23"/>
      <c r="C110" s="23"/>
      <c r="D110" s="23"/>
      <c r="E110" s="23"/>
      <c r="F110" s="60">
        <f>'16_4 kaavio'!N21</f>
        <v>0</v>
      </c>
      <c r="G110" s="23"/>
      <c r="H110" s="23"/>
      <c r="I110" s="23"/>
      <c r="J110" s="23"/>
      <c r="K110" s="23"/>
      <c r="L110" s="23"/>
      <c r="M110" s="23"/>
      <c r="N110" s="23" t="s">
        <v>23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 t="s">
        <v>23</v>
      </c>
      <c r="AF110" s="23"/>
      <c r="AG110" s="23"/>
    </row>
    <row r="111" spans="5:33" ht="12.75">
      <c r="E111" s="183">
        <f>Pelit!A16</f>
      </c>
      <c r="F111" s="183"/>
      <c r="G111" s="183"/>
      <c r="H111" s="183"/>
      <c r="I111" s="183"/>
      <c r="J111" s="183"/>
      <c r="K111" s="183"/>
      <c r="L111" s="183"/>
      <c r="N111" s="184"/>
      <c r="O111" s="185"/>
      <c r="P111" s="185"/>
      <c r="Q111" s="186"/>
      <c r="V111" s="183">
        <f>Pelit!F16</f>
      </c>
      <c r="W111" s="183"/>
      <c r="X111" s="183"/>
      <c r="Y111" s="183"/>
      <c r="Z111" s="183"/>
      <c r="AA111" s="183"/>
      <c r="AB111" s="183"/>
      <c r="AC111" s="183"/>
      <c r="AE111" s="184"/>
      <c r="AF111" s="185"/>
      <c r="AG111" s="186"/>
    </row>
    <row r="112" spans="1:33" ht="21" thickBot="1">
      <c r="A112" s="182" t="s">
        <v>75</v>
      </c>
      <c r="B112" s="182"/>
      <c r="C112" s="182"/>
      <c r="D112" s="182"/>
      <c r="E112" s="183"/>
      <c r="F112" s="183"/>
      <c r="G112" s="183"/>
      <c r="H112" s="183"/>
      <c r="I112" s="183"/>
      <c r="J112" s="183"/>
      <c r="K112" s="183"/>
      <c r="L112" s="183"/>
      <c r="N112" s="187"/>
      <c r="O112" s="188"/>
      <c r="P112" s="188"/>
      <c r="Q112" s="189"/>
      <c r="R112" s="182" t="s">
        <v>76</v>
      </c>
      <c r="S112" s="182"/>
      <c r="T112" s="182"/>
      <c r="U112" s="182"/>
      <c r="V112" s="183"/>
      <c r="W112" s="183"/>
      <c r="X112" s="183"/>
      <c r="Y112" s="183"/>
      <c r="Z112" s="183"/>
      <c r="AA112" s="183"/>
      <c r="AB112" s="183"/>
      <c r="AC112" s="183"/>
      <c r="AD112" s="24"/>
      <c r="AE112" s="187"/>
      <c r="AF112" s="188"/>
      <c r="AG112" s="189"/>
    </row>
    <row r="113" ht="13.5" thickBot="1"/>
    <row r="114" spans="1:33" ht="24" thickBot="1">
      <c r="A114" s="181" t="s">
        <v>39</v>
      </c>
      <c r="B114" s="181"/>
      <c r="C114" s="181"/>
      <c r="D114" s="181" t="s">
        <v>40</v>
      </c>
      <c r="E114" s="181"/>
      <c r="F114" s="181"/>
      <c r="G114" s="181" t="s">
        <v>41</v>
      </c>
      <c r="H114" s="181"/>
      <c r="I114" s="181"/>
      <c r="J114" s="181" t="s">
        <v>42</v>
      </c>
      <c r="K114" s="181"/>
      <c r="L114" s="181"/>
      <c r="M114" s="181" t="s">
        <v>43</v>
      </c>
      <c r="N114" s="181"/>
      <c r="O114" s="181"/>
      <c r="P114" s="181" t="s">
        <v>44</v>
      </c>
      <c r="Q114" s="181"/>
      <c r="R114" s="181"/>
      <c r="S114" s="181" t="s">
        <v>45</v>
      </c>
      <c r="T114" s="181"/>
      <c r="U114" s="181"/>
      <c r="V114" s="181" t="s">
        <v>46</v>
      </c>
      <c r="W114" s="181"/>
      <c r="X114" s="181"/>
      <c r="Y114" s="181" t="s">
        <v>47</v>
      </c>
      <c r="Z114" s="181"/>
      <c r="AA114" s="181"/>
      <c r="AB114" s="181" t="s">
        <v>48</v>
      </c>
      <c r="AC114" s="181"/>
      <c r="AD114" s="181"/>
      <c r="AE114" s="181" t="s">
        <v>49</v>
      </c>
      <c r="AF114" s="181"/>
      <c r="AG114" s="181"/>
    </row>
    <row r="115" spans="1:33" ht="12.75">
      <c r="A115" s="179"/>
      <c r="B115" s="173" t="s">
        <v>26</v>
      </c>
      <c r="C115" s="175"/>
      <c r="D115" s="171"/>
      <c r="E115" s="177" t="s">
        <v>26</v>
      </c>
      <c r="F115" s="175"/>
      <c r="G115" s="171"/>
      <c r="H115" s="173" t="s">
        <v>26</v>
      </c>
      <c r="I115" s="175"/>
      <c r="J115" s="171"/>
      <c r="K115" s="173" t="s">
        <v>26</v>
      </c>
      <c r="L115" s="175"/>
      <c r="M115" s="171"/>
      <c r="N115" s="173" t="s">
        <v>26</v>
      </c>
      <c r="O115" s="175"/>
      <c r="P115" s="179"/>
      <c r="Q115" s="173" t="s">
        <v>26</v>
      </c>
      <c r="R115" s="175"/>
      <c r="S115" s="171"/>
      <c r="T115" s="177" t="s">
        <v>26</v>
      </c>
      <c r="U115" s="175"/>
      <c r="V115" s="171"/>
      <c r="W115" s="173" t="s">
        <v>26</v>
      </c>
      <c r="X115" s="175"/>
      <c r="Y115" s="171"/>
      <c r="Z115" s="173" t="s">
        <v>26</v>
      </c>
      <c r="AA115" s="175"/>
      <c r="AB115" s="171"/>
      <c r="AC115" s="173" t="s">
        <v>26</v>
      </c>
      <c r="AD115" s="175"/>
      <c r="AE115" s="171"/>
      <c r="AF115" s="173" t="s">
        <v>26</v>
      </c>
      <c r="AG115" s="175"/>
    </row>
    <row r="116" spans="1:33" ht="13.5" thickBot="1">
      <c r="A116" s="180"/>
      <c r="B116" s="174"/>
      <c r="C116" s="176"/>
      <c r="D116" s="172"/>
      <c r="E116" s="178"/>
      <c r="F116" s="176"/>
      <c r="G116" s="172"/>
      <c r="H116" s="174"/>
      <c r="I116" s="176"/>
      <c r="J116" s="172"/>
      <c r="K116" s="174"/>
      <c r="L116" s="176"/>
      <c r="M116" s="172"/>
      <c r="N116" s="174"/>
      <c r="O116" s="176"/>
      <c r="P116" s="180"/>
      <c r="Q116" s="174"/>
      <c r="R116" s="176"/>
      <c r="S116" s="172"/>
      <c r="T116" s="178"/>
      <c r="U116" s="176"/>
      <c r="V116" s="172"/>
      <c r="W116" s="174"/>
      <c r="X116" s="176"/>
      <c r="Y116" s="172"/>
      <c r="Z116" s="174"/>
      <c r="AA116" s="176"/>
      <c r="AB116" s="172"/>
      <c r="AC116" s="174"/>
      <c r="AD116" s="176"/>
      <c r="AE116" s="172"/>
      <c r="AF116" s="174"/>
      <c r="AG116" s="176"/>
    </row>
    <row r="118" spans="11:18" ht="12.75">
      <c r="K118" s="190" t="s">
        <v>77</v>
      </c>
      <c r="L118" s="190"/>
      <c r="M118" s="190"/>
      <c r="N118" s="190"/>
      <c r="O118" s="190"/>
      <c r="P118" s="190"/>
      <c r="Q118" s="190"/>
      <c r="R118" s="190"/>
    </row>
    <row r="119" spans="1:33" ht="20.25">
      <c r="A119" s="24"/>
      <c r="B119" s="24"/>
      <c r="C119" s="24"/>
      <c r="D119" s="24"/>
      <c r="E119" s="24"/>
      <c r="F119" s="24"/>
      <c r="G119" s="24"/>
      <c r="H119" s="24"/>
      <c r="I119" s="24"/>
      <c r="J119" s="27" t="s">
        <v>50</v>
      </c>
      <c r="K119" s="190"/>
      <c r="L119" s="190"/>
      <c r="M119" s="190"/>
      <c r="N119" s="190"/>
      <c r="O119" s="190"/>
      <c r="P119" s="190"/>
      <c r="Q119" s="190"/>
      <c r="R119" s="190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ht="20.25">
      <c r="A120" s="24"/>
    </row>
    <row r="121" spans="32:33" ht="12.75">
      <c r="AF121" s="66" t="s">
        <v>28</v>
      </c>
      <c r="AG121" s="47">
        <f>AG109+1</f>
        <v>11</v>
      </c>
    </row>
    <row r="122" spans="1:33" ht="24" thickBot="1">
      <c r="A122" s="23" t="s">
        <v>37</v>
      </c>
      <c r="B122" s="23"/>
      <c r="C122" s="23"/>
      <c r="D122" s="23"/>
      <c r="E122" s="23"/>
      <c r="F122" s="60">
        <f>'16_4 kaavio'!N37</f>
        <v>0</v>
      </c>
      <c r="G122" s="23"/>
      <c r="H122" s="23"/>
      <c r="I122" s="23"/>
      <c r="J122" s="23"/>
      <c r="K122" s="23"/>
      <c r="L122" s="23"/>
      <c r="M122" s="23"/>
      <c r="N122" s="23" t="s">
        <v>23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 t="s">
        <v>23</v>
      </c>
      <c r="AF122" s="23"/>
      <c r="AG122" s="23"/>
    </row>
    <row r="123" spans="5:33" ht="12.75">
      <c r="E123" s="183">
        <f>Pelit!A17</f>
      </c>
      <c r="F123" s="183"/>
      <c r="G123" s="183"/>
      <c r="H123" s="183"/>
      <c r="I123" s="183"/>
      <c r="J123" s="183"/>
      <c r="K123" s="183"/>
      <c r="L123" s="183"/>
      <c r="N123" s="184"/>
      <c r="O123" s="185"/>
      <c r="P123" s="185"/>
      <c r="Q123" s="186"/>
      <c r="V123" s="183">
        <f>Pelit!F17</f>
      </c>
      <c r="W123" s="183"/>
      <c r="X123" s="183"/>
      <c r="Y123" s="183"/>
      <c r="Z123" s="183"/>
      <c r="AA123" s="183"/>
      <c r="AB123" s="183"/>
      <c r="AC123" s="183"/>
      <c r="AE123" s="184"/>
      <c r="AF123" s="185"/>
      <c r="AG123" s="186"/>
    </row>
    <row r="124" spans="1:33" ht="21" thickBot="1">
      <c r="A124" s="182" t="s">
        <v>75</v>
      </c>
      <c r="B124" s="182"/>
      <c r="C124" s="182"/>
      <c r="D124" s="182"/>
      <c r="E124" s="183"/>
      <c r="F124" s="183"/>
      <c r="G124" s="183"/>
      <c r="H124" s="183"/>
      <c r="I124" s="183"/>
      <c r="J124" s="183"/>
      <c r="K124" s="183"/>
      <c r="L124" s="183"/>
      <c r="N124" s="187"/>
      <c r="O124" s="188"/>
      <c r="P124" s="188"/>
      <c r="Q124" s="189"/>
      <c r="R124" s="182" t="s">
        <v>76</v>
      </c>
      <c r="S124" s="182"/>
      <c r="T124" s="182"/>
      <c r="U124" s="182"/>
      <c r="V124" s="183"/>
      <c r="W124" s="183"/>
      <c r="X124" s="183"/>
      <c r="Y124" s="183"/>
      <c r="Z124" s="183"/>
      <c r="AA124" s="183"/>
      <c r="AB124" s="183"/>
      <c r="AC124" s="183"/>
      <c r="AD124" s="24"/>
      <c r="AE124" s="187"/>
      <c r="AF124" s="188"/>
      <c r="AG124" s="189"/>
    </row>
    <row r="125" ht="13.5" thickBot="1"/>
    <row r="126" spans="1:33" ht="24" thickBot="1">
      <c r="A126" s="181" t="s">
        <v>39</v>
      </c>
      <c r="B126" s="181"/>
      <c r="C126" s="181"/>
      <c r="D126" s="181" t="s">
        <v>40</v>
      </c>
      <c r="E126" s="181"/>
      <c r="F126" s="181"/>
      <c r="G126" s="181" t="s">
        <v>41</v>
      </c>
      <c r="H126" s="181"/>
      <c r="I126" s="181"/>
      <c r="J126" s="181" t="s">
        <v>42</v>
      </c>
      <c r="K126" s="181"/>
      <c r="L126" s="181"/>
      <c r="M126" s="181" t="s">
        <v>43</v>
      </c>
      <c r="N126" s="181"/>
      <c r="O126" s="181"/>
      <c r="P126" s="181" t="s">
        <v>44</v>
      </c>
      <c r="Q126" s="181"/>
      <c r="R126" s="181"/>
      <c r="S126" s="181" t="s">
        <v>45</v>
      </c>
      <c r="T126" s="181"/>
      <c r="U126" s="181"/>
      <c r="V126" s="181" t="s">
        <v>46</v>
      </c>
      <c r="W126" s="181"/>
      <c r="X126" s="181"/>
      <c r="Y126" s="181" t="s">
        <v>47</v>
      </c>
      <c r="Z126" s="181"/>
      <c r="AA126" s="181"/>
      <c r="AB126" s="181" t="s">
        <v>48</v>
      </c>
      <c r="AC126" s="181"/>
      <c r="AD126" s="181"/>
      <c r="AE126" s="181" t="s">
        <v>49</v>
      </c>
      <c r="AF126" s="181"/>
      <c r="AG126" s="181"/>
    </row>
    <row r="127" spans="1:33" ht="12.75">
      <c r="A127" s="179"/>
      <c r="B127" s="173" t="s">
        <v>26</v>
      </c>
      <c r="C127" s="175"/>
      <c r="D127" s="171"/>
      <c r="E127" s="177" t="s">
        <v>26</v>
      </c>
      <c r="F127" s="175"/>
      <c r="G127" s="171"/>
      <c r="H127" s="173" t="s">
        <v>26</v>
      </c>
      <c r="I127" s="175"/>
      <c r="J127" s="171"/>
      <c r="K127" s="173" t="s">
        <v>26</v>
      </c>
      <c r="L127" s="175"/>
      <c r="M127" s="171"/>
      <c r="N127" s="173" t="s">
        <v>26</v>
      </c>
      <c r="O127" s="175"/>
      <c r="P127" s="179"/>
      <c r="Q127" s="173" t="s">
        <v>26</v>
      </c>
      <c r="R127" s="175"/>
      <c r="S127" s="171"/>
      <c r="T127" s="177" t="s">
        <v>26</v>
      </c>
      <c r="U127" s="175"/>
      <c r="V127" s="171"/>
      <c r="W127" s="173" t="s">
        <v>26</v>
      </c>
      <c r="X127" s="175"/>
      <c r="Y127" s="171"/>
      <c r="Z127" s="173" t="s">
        <v>26</v>
      </c>
      <c r="AA127" s="175"/>
      <c r="AB127" s="171"/>
      <c r="AC127" s="173" t="s">
        <v>26</v>
      </c>
      <c r="AD127" s="175"/>
      <c r="AE127" s="171"/>
      <c r="AF127" s="173" t="s">
        <v>26</v>
      </c>
      <c r="AG127" s="175"/>
    </row>
    <row r="128" spans="1:33" ht="13.5" thickBot="1">
      <c r="A128" s="180"/>
      <c r="B128" s="174"/>
      <c r="C128" s="176"/>
      <c r="D128" s="172"/>
      <c r="E128" s="178"/>
      <c r="F128" s="176"/>
      <c r="G128" s="172"/>
      <c r="H128" s="174"/>
      <c r="I128" s="176"/>
      <c r="J128" s="172"/>
      <c r="K128" s="174"/>
      <c r="L128" s="176"/>
      <c r="M128" s="172"/>
      <c r="N128" s="174"/>
      <c r="O128" s="176"/>
      <c r="P128" s="180"/>
      <c r="Q128" s="174"/>
      <c r="R128" s="176"/>
      <c r="S128" s="172"/>
      <c r="T128" s="178"/>
      <c r="U128" s="176"/>
      <c r="V128" s="172"/>
      <c r="W128" s="174"/>
      <c r="X128" s="176"/>
      <c r="Y128" s="172"/>
      <c r="Z128" s="174"/>
      <c r="AA128" s="176"/>
      <c r="AB128" s="172"/>
      <c r="AC128" s="174"/>
      <c r="AD128" s="176"/>
      <c r="AE128" s="172"/>
      <c r="AF128" s="174"/>
      <c r="AG128" s="176"/>
    </row>
    <row r="129" spans="1:33" ht="2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2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190" t="s">
        <v>77</v>
      </c>
      <c r="L130" s="190"/>
      <c r="M130" s="190"/>
      <c r="N130" s="190"/>
      <c r="O130" s="190"/>
      <c r="P130" s="190"/>
      <c r="Q130" s="190"/>
      <c r="R130" s="190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20.25">
      <c r="A131" s="24"/>
      <c r="B131" s="26"/>
      <c r="C131" s="26"/>
      <c r="D131" s="26"/>
      <c r="E131" s="26"/>
      <c r="F131" s="26"/>
      <c r="G131" s="26"/>
      <c r="H131" s="26"/>
      <c r="I131" s="26"/>
      <c r="J131" s="27" t="s">
        <v>50</v>
      </c>
      <c r="K131" s="190"/>
      <c r="L131" s="190"/>
      <c r="M131" s="190"/>
      <c r="N131" s="190"/>
      <c r="O131" s="190"/>
      <c r="P131" s="190"/>
      <c r="Q131" s="190"/>
      <c r="R131" s="190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2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ht="2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66" t="s">
        <v>28</v>
      </c>
      <c r="AG133" s="47">
        <f>AG121+1</f>
        <v>12</v>
      </c>
    </row>
    <row r="134" spans="1:33" ht="24" thickBot="1">
      <c r="A134" s="23" t="s">
        <v>37</v>
      </c>
      <c r="B134" s="23"/>
      <c r="C134" s="23"/>
      <c r="D134" s="23"/>
      <c r="E134" s="23"/>
      <c r="F134" s="60">
        <f>'16_4 kaavio'!N49</f>
        <v>0</v>
      </c>
      <c r="G134" s="23"/>
      <c r="H134" s="23"/>
      <c r="I134" s="23"/>
      <c r="J134" s="23"/>
      <c r="K134" s="23"/>
      <c r="L134" s="23"/>
      <c r="M134" s="23"/>
      <c r="N134" s="23" t="s">
        <v>23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 t="s">
        <v>23</v>
      </c>
      <c r="AF134" s="23"/>
      <c r="AG134" s="23"/>
    </row>
    <row r="135" spans="5:33" ht="12.75">
      <c r="E135" s="183">
        <f>Pelit!A18</f>
      </c>
      <c r="F135" s="183"/>
      <c r="G135" s="183"/>
      <c r="H135" s="183"/>
      <c r="I135" s="183"/>
      <c r="J135" s="183"/>
      <c r="K135" s="183"/>
      <c r="L135" s="183"/>
      <c r="N135" s="184"/>
      <c r="O135" s="185"/>
      <c r="P135" s="185"/>
      <c r="Q135" s="186"/>
      <c r="V135" s="183">
        <f>Pelit!F18</f>
      </c>
      <c r="W135" s="183"/>
      <c r="X135" s="183"/>
      <c r="Y135" s="183"/>
      <c r="Z135" s="183"/>
      <c r="AA135" s="183"/>
      <c r="AB135" s="183"/>
      <c r="AC135" s="183"/>
      <c r="AE135" s="184"/>
      <c r="AF135" s="185"/>
      <c r="AG135" s="186"/>
    </row>
    <row r="136" spans="1:33" ht="21" thickBot="1">
      <c r="A136" s="182" t="s">
        <v>75</v>
      </c>
      <c r="B136" s="182"/>
      <c r="C136" s="182"/>
      <c r="D136" s="182"/>
      <c r="E136" s="183"/>
      <c r="F136" s="183"/>
      <c r="G136" s="183"/>
      <c r="H136" s="183"/>
      <c r="I136" s="183"/>
      <c r="J136" s="183"/>
      <c r="K136" s="183"/>
      <c r="L136" s="183"/>
      <c r="N136" s="187"/>
      <c r="O136" s="188"/>
      <c r="P136" s="188"/>
      <c r="Q136" s="189"/>
      <c r="R136" s="182" t="s">
        <v>76</v>
      </c>
      <c r="S136" s="182"/>
      <c r="T136" s="182"/>
      <c r="U136" s="182"/>
      <c r="V136" s="183"/>
      <c r="W136" s="183"/>
      <c r="X136" s="183"/>
      <c r="Y136" s="183"/>
      <c r="Z136" s="183"/>
      <c r="AA136" s="183"/>
      <c r="AB136" s="183"/>
      <c r="AC136" s="183"/>
      <c r="AD136" s="24"/>
      <c r="AE136" s="187"/>
      <c r="AF136" s="188"/>
      <c r="AG136" s="189"/>
    </row>
    <row r="137" ht="13.5" thickBot="1"/>
    <row r="138" spans="1:33" ht="24" thickBot="1">
      <c r="A138" s="181" t="s">
        <v>39</v>
      </c>
      <c r="B138" s="181"/>
      <c r="C138" s="181"/>
      <c r="D138" s="181" t="s">
        <v>40</v>
      </c>
      <c r="E138" s="181"/>
      <c r="F138" s="181"/>
      <c r="G138" s="181" t="s">
        <v>41</v>
      </c>
      <c r="H138" s="181"/>
      <c r="I138" s="181"/>
      <c r="J138" s="181" t="s">
        <v>42</v>
      </c>
      <c r="K138" s="181"/>
      <c r="L138" s="181"/>
      <c r="M138" s="181" t="s">
        <v>43</v>
      </c>
      <c r="N138" s="181"/>
      <c r="O138" s="181"/>
      <c r="P138" s="181" t="s">
        <v>44</v>
      </c>
      <c r="Q138" s="181"/>
      <c r="R138" s="181"/>
      <c r="S138" s="181" t="s">
        <v>45</v>
      </c>
      <c r="T138" s="181"/>
      <c r="U138" s="181"/>
      <c r="V138" s="181" t="s">
        <v>46</v>
      </c>
      <c r="W138" s="181"/>
      <c r="X138" s="181"/>
      <c r="Y138" s="181" t="s">
        <v>47</v>
      </c>
      <c r="Z138" s="181"/>
      <c r="AA138" s="181"/>
      <c r="AB138" s="181" t="s">
        <v>48</v>
      </c>
      <c r="AC138" s="181"/>
      <c r="AD138" s="181"/>
      <c r="AE138" s="181" t="s">
        <v>49</v>
      </c>
      <c r="AF138" s="181"/>
      <c r="AG138" s="181"/>
    </row>
    <row r="139" spans="1:33" ht="12.75">
      <c r="A139" s="179"/>
      <c r="B139" s="173" t="s">
        <v>26</v>
      </c>
      <c r="C139" s="175"/>
      <c r="D139" s="171"/>
      <c r="E139" s="177" t="s">
        <v>26</v>
      </c>
      <c r="F139" s="175"/>
      <c r="G139" s="171"/>
      <c r="H139" s="173" t="s">
        <v>26</v>
      </c>
      <c r="I139" s="175"/>
      <c r="J139" s="171"/>
      <c r="K139" s="173" t="s">
        <v>26</v>
      </c>
      <c r="L139" s="175"/>
      <c r="M139" s="171"/>
      <c r="N139" s="173" t="s">
        <v>26</v>
      </c>
      <c r="O139" s="175"/>
      <c r="P139" s="179"/>
      <c r="Q139" s="173" t="s">
        <v>26</v>
      </c>
      <c r="R139" s="175"/>
      <c r="S139" s="171"/>
      <c r="T139" s="177" t="s">
        <v>26</v>
      </c>
      <c r="U139" s="175"/>
      <c r="V139" s="171"/>
      <c r="W139" s="173" t="s">
        <v>26</v>
      </c>
      <c r="X139" s="175"/>
      <c r="Y139" s="171"/>
      <c r="Z139" s="173" t="s">
        <v>26</v>
      </c>
      <c r="AA139" s="175"/>
      <c r="AB139" s="171"/>
      <c r="AC139" s="173" t="s">
        <v>26</v>
      </c>
      <c r="AD139" s="175"/>
      <c r="AE139" s="171"/>
      <c r="AF139" s="173" t="s">
        <v>26</v>
      </c>
      <c r="AG139" s="175"/>
    </row>
    <row r="140" spans="1:33" ht="13.5" thickBot="1">
      <c r="A140" s="180"/>
      <c r="B140" s="174"/>
      <c r="C140" s="176"/>
      <c r="D140" s="172"/>
      <c r="E140" s="178"/>
      <c r="F140" s="176"/>
      <c r="G140" s="172"/>
      <c r="H140" s="174"/>
      <c r="I140" s="176"/>
      <c r="J140" s="172"/>
      <c r="K140" s="174"/>
      <c r="L140" s="176"/>
      <c r="M140" s="172"/>
      <c r="N140" s="174"/>
      <c r="O140" s="176"/>
      <c r="P140" s="180"/>
      <c r="Q140" s="174"/>
      <c r="R140" s="176"/>
      <c r="S140" s="172"/>
      <c r="T140" s="178"/>
      <c r="U140" s="176"/>
      <c r="V140" s="172"/>
      <c r="W140" s="174"/>
      <c r="X140" s="176"/>
      <c r="Y140" s="172"/>
      <c r="Z140" s="174"/>
      <c r="AA140" s="176"/>
      <c r="AB140" s="172"/>
      <c r="AC140" s="174"/>
      <c r="AD140" s="176"/>
      <c r="AE140" s="172"/>
      <c r="AF140" s="174"/>
      <c r="AG140" s="176"/>
    </row>
    <row r="142" spans="11:18" ht="12.75">
      <c r="K142" s="190" t="s">
        <v>77</v>
      </c>
      <c r="L142" s="190"/>
      <c r="M142" s="190"/>
      <c r="N142" s="190"/>
      <c r="O142" s="190"/>
      <c r="P142" s="190"/>
      <c r="Q142" s="190"/>
      <c r="R142" s="190"/>
    </row>
    <row r="143" spans="1:33" ht="20.25">
      <c r="A143" s="24"/>
      <c r="B143" s="24"/>
      <c r="C143" s="24"/>
      <c r="D143" s="24"/>
      <c r="E143" s="24"/>
      <c r="F143" s="24"/>
      <c r="G143" s="24"/>
      <c r="H143" s="24"/>
      <c r="I143" s="24"/>
      <c r="J143" s="27" t="s">
        <v>50</v>
      </c>
      <c r="K143" s="190"/>
      <c r="L143" s="190"/>
      <c r="M143" s="190"/>
      <c r="N143" s="190"/>
      <c r="O143" s="190"/>
      <c r="P143" s="190"/>
      <c r="Q143" s="190"/>
      <c r="R143" s="190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ht="20.25">
      <c r="A144" s="24"/>
    </row>
    <row r="145" spans="32:33" ht="12.75">
      <c r="AF145" s="66" t="s">
        <v>27</v>
      </c>
      <c r="AG145" s="47">
        <f>AG133+1</f>
        <v>13</v>
      </c>
    </row>
    <row r="146" spans="1:33" ht="24" thickBot="1">
      <c r="A146" s="23" t="s">
        <v>37</v>
      </c>
      <c r="B146" s="23"/>
      <c r="C146" s="23"/>
      <c r="D146" s="23"/>
      <c r="E146" s="23"/>
      <c r="F146" s="60">
        <f>'16_4 kaavio'!I9</f>
        <v>0</v>
      </c>
      <c r="G146" s="23"/>
      <c r="H146" s="23"/>
      <c r="I146" s="23"/>
      <c r="J146" s="23"/>
      <c r="K146" s="23"/>
      <c r="L146" s="23"/>
      <c r="M146" s="23"/>
      <c r="N146" s="23" t="s">
        <v>23</v>
      </c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 t="s">
        <v>23</v>
      </c>
      <c r="AF146" s="23"/>
      <c r="AG146" s="23"/>
    </row>
    <row r="147" spans="5:33" ht="12.75">
      <c r="E147" s="183">
        <f>Pelit!A21</f>
      </c>
      <c r="F147" s="183"/>
      <c r="G147" s="183"/>
      <c r="H147" s="183"/>
      <c r="I147" s="183"/>
      <c r="J147" s="183"/>
      <c r="K147" s="183"/>
      <c r="L147" s="183"/>
      <c r="N147" s="184"/>
      <c r="O147" s="185"/>
      <c r="P147" s="185"/>
      <c r="Q147" s="186"/>
      <c r="V147" s="183">
        <f>Pelit!F21</f>
      </c>
      <c r="W147" s="183"/>
      <c r="X147" s="183"/>
      <c r="Y147" s="183"/>
      <c r="Z147" s="183"/>
      <c r="AA147" s="183"/>
      <c r="AB147" s="183"/>
      <c r="AC147" s="183"/>
      <c r="AE147" s="184"/>
      <c r="AF147" s="185"/>
      <c r="AG147" s="186"/>
    </row>
    <row r="148" spans="1:33" ht="21" thickBot="1">
      <c r="A148" s="182" t="s">
        <v>75</v>
      </c>
      <c r="B148" s="182"/>
      <c r="C148" s="182"/>
      <c r="D148" s="182"/>
      <c r="E148" s="183"/>
      <c r="F148" s="183"/>
      <c r="G148" s="183"/>
      <c r="H148" s="183"/>
      <c r="I148" s="183"/>
      <c r="J148" s="183"/>
      <c r="K148" s="183"/>
      <c r="L148" s="183"/>
      <c r="N148" s="187"/>
      <c r="O148" s="188"/>
      <c r="P148" s="188"/>
      <c r="Q148" s="189"/>
      <c r="R148" s="182" t="s">
        <v>76</v>
      </c>
      <c r="S148" s="182"/>
      <c r="T148" s="182"/>
      <c r="U148" s="182"/>
      <c r="V148" s="183"/>
      <c r="W148" s="183"/>
      <c r="X148" s="183"/>
      <c r="Y148" s="183"/>
      <c r="Z148" s="183"/>
      <c r="AA148" s="183"/>
      <c r="AB148" s="183"/>
      <c r="AC148" s="183"/>
      <c r="AD148" s="24"/>
      <c r="AE148" s="187"/>
      <c r="AF148" s="188"/>
      <c r="AG148" s="189"/>
    </row>
    <row r="149" ht="13.5" thickBot="1"/>
    <row r="150" spans="1:33" ht="24" thickBot="1">
      <c r="A150" s="181" t="s">
        <v>39</v>
      </c>
      <c r="B150" s="181"/>
      <c r="C150" s="181"/>
      <c r="D150" s="181" t="s">
        <v>40</v>
      </c>
      <c r="E150" s="181"/>
      <c r="F150" s="181"/>
      <c r="G150" s="181" t="s">
        <v>41</v>
      </c>
      <c r="H150" s="181"/>
      <c r="I150" s="181"/>
      <c r="J150" s="181" t="s">
        <v>42</v>
      </c>
      <c r="K150" s="181"/>
      <c r="L150" s="181"/>
      <c r="M150" s="181" t="s">
        <v>43</v>
      </c>
      <c r="N150" s="181"/>
      <c r="O150" s="181"/>
      <c r="P150" s="181" t="s">
        <v>44</v>
      </c>
      <c r="Q150" s="181"/>
      <c r="R150" s="181"/>
      <c r="S150" s="181" t="s">
        <v>45</v>
      </c>
      <c r="T150" s="181"/>
      <c r="U150" s="181"/>
      <c r="V150" s="181" t="s">
        <v>46</v>
      </c>
      <c r="W150" s="181"/>
      <c r="X150" s="181"/>
      <c r="Y150" s="181" t="s">
        <v>47</v>
      </c>
      <c r="Z150" s="181"/>
      <c r="AA150" s="181"/>
      <c r="AB150" s="181" t="s">
        <v>48</v>
      </c>
      <c r="AC150" s="181"/>
      <c r="AD150" s="181"/>
      <c r="AE150" s="181" t="s">
        <v>49</v>
      </c>
      <c r="AF150" s="181"/>
      <c r="AG150" s="181"/>
    </row>
    <row r="151" spans="1:33" ht="12.75">
      <c r="A151" s="179"/>
      <c r="B151" s="173" t="s">
        <v>26</v>
      </c>
      <c r="C151" s="175"/>
      <c r="D151" s="171"/>
      <c r="E151" s="177" t="s">
        <v>26</v>
      </c>
      <c r="F151" s="175"/>
      <c r="G151" s="171"/>
      <c r="H151" s="173" t="s">
        <v>26</v>
      </c>
      <c r="I151" s="175"/>
      <c r="J151" s="171"/>
      <c r="K151" s="173" t="s">
        <v>26</v>
      </c>
      <c r="L151" s="175"/>
      <c r="M151" s="171"/>
      <c r="N151" s="173" t="s">
        <v>26</v>
      </c>
      <c r="O151" s="175"/>
      <c r="P151" s="179"/>
      <c r="Q151" s="173" t="s">
        <v>26</v>
      </c>
      <c r="R151" s="175"/>
      <c r="S151" s="171"/>
      <c r="T151" s="177" t="s">
        <v>26</v>
      </c>
      <c r="U151" s="175"/>
      <c r="V151" s="171"/>
      <c r="W151" s="173" t="s">
        <v>26</v>
      </c>
      <c r="X151" s="175"/>
      <c r="Y151" s="171"/>
      <c r="Z151" s="173" t="s">
        <v>26</v>
      </c>
      <c r="AA151" s="175"/>
      <c r="AB151" s="171"/>
      <c r="AC151" s="173" t="s">
        <v>26</v>
      </c>
      <c r="AD151" s="175"/>
      <c r="AE151" s="171"/>
      <c r="AF151" s="173" t="s">
        <v>26</v>
      </c>
      <c r="AG151" s="175"/>
    </row>
    <row r="152" spans="1:33" ht="13.5" thickBot="1">
      <c r="A152" s="180"/>
      <c r="B152" s="174"/>
      <c r="C152" s="176"/>
      <c r="D152" s="172"/>
      <c r="E152" s="178"/>
      <c r="F152" s="176"/>
      <c r="G152" s="172"/>
      <c r="H152" s="174"/>
      <c r="I152" s="176"/>
      <c r="J152" s="172"/>
      <c r="K152" s="174"/>
      <c r="L152" s="176"/>
      <c r="M152" s="172"/>
      <c r="N152" s="174"/>
      <c r="O152" s="176"/>
      <c r="P152" s="180"/>
      <c r="Q152" s="174"/>
      <c r="R152" s="176"/>
      <c r="S152" s="172"/>
      <c r="T152" s="178"/>
      <c r="U152" s="176"/>
      <c r="V152" s="172"/>
      <c r="W152" s="174"/>
      <c r="X152" s="176"/>
      <c r="Y152" s="172"/>
      <c r="Z152" s="174"/>
      <c r="AA152" s="176"/>
      <c r="AB152" s="172"/>
      <c r="AC152" s="174"/>
      <c r="AD152" s="176"/>
      <c r="AE152" s="172"/>
      <c r="AF152" s="174"/>
      <c r="AG152" s="176"/>
    </row>
    <row r="153" spans="1:33" ht="2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 spans="1:33" ht="2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 spans="1:33" ht="20.25">
      <c r="A155" s="24"/>
      <c r="B155" s="26"/>
      <c r="C155" s="26"/>
      <c r="D155" s="26"/>
      <c r="E155" s="26"/>
      <c r="F155" s="26"/>
      <c r="G155" s="26"/>
      <c r="H155" s="26"/>
      <c r="I155" s="26"/>
      <c r="J155" s="27" t="s">
        <v>50</v>
      </c>
      <c r="K155" s="25" t="s">
        <v>51</v>
      </c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1:33" ht="2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ht="2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66" t="s">
        <v>27</v>
      </c>
      <c r="AG157" s="47">
        <f>AG145+1</f>
        <v>14</v>
      </c>
    </row>
    <row r="158" spans="1:33" ht="24" thickBot="1">
      <c r="A158" s="23" t="s">
        <v>37</v>
      </c>
      <c r="B158" s="23"/>
      <c r="C158" s="23"/>
      <c r="D158" s="23"/>
      <c r="E158" s="23"/>
      <c r="F158" s="60">
        <f>'16_4 kaavio'!I21</f>
        <v>0</v>
      </c>
      <c r="G158" s="23"/>
      <c r="H158" s="23"/>
      <c r="I158" s="23"/>
      <c r="J158" s="23"/>
      <c r="K158" s="23"/>
      <c r="L158" s="23"/>
      <c r="M158" s="23"/>
      <c r="N158" s="23" t="s">
        <v>23</v>
      </c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 t="s">
        <v>23</v>
      </c>
      <c r="AF158" s="23"/>
      <c r="AG158" s="23"/>
    </row>
    <row r="159" spans="5:33" ht="12.75">
      <c r="E159" s="183">
        <f>Pelit!A22</f>
      </c>
      <c r="F159" s="183"/>
      <c r="G159" s="183"/>
      <c r="H159" s="183"/>
      <c r="I159" s="183"/>
      <c r="J159" s="183"/>
      <c r="K159" s="183"/>
      <c r="L159" s="183"/>
      <c r="N159" s="184"/>
      <c r="O159" s="185"/>
      <c r="P159" s="185"/>
      <c r="Q159" s="186"/>
      <c r="V159" s="183">
        <f>Pelit!F22</f>
      </c>
      <c r="W159" s="183"/>
      <c r="X159" s="183"/>
      <c r="Y159" s="183"/>
      <c r="Z159" s="183"/>
      <c r="AA159" s="183"/>
      <c r="AB159" s="183"/>
      <c r="AC159" s="183"/>
      <c r="AE159" s="184"/>
      <c r="AF159" s="185"/>
      <c r="AG159" s="186"/>
    </row>
    <row r="160" spans="1:33" ht="21" thickBot="1">
      <c r="A160" s="182" t="s">
        <v>75</v>
      </c>
      <c r="B160" s="182"/>
      <c r="C160" s="182"/>
      <c r="D160" s="182"/>
      <c r="E160" s="183"/>
      <c r="F160" s="183"/>
      <c r="G160" s="183"/>
      <c r="H160" s="183"/>
      <c r="I160" s="183"/>
      <c r="J160" s="183"/>
      <c r="K160" s="183"/>
      <c r="L160" s="183"/>
      <c r="N160" s="187"/>
      <c r="O160" s="188"/>
      <c r="P160" s="188"/>
      <c r="Q160" s="189"/>
      <c r="R160" s="182" t="s">
        <v>76</v>
      </c>
      <c r="S160" s="182"/>
      <c r="T160" s="182"/>
      <c r="U160" s="182"/>
      <c r="V160" s="183"/>
      <c r="W160" s="183"/>
      <c r="X160" s="183"/>
      <c r="Y160" s="183"/>
      <c r="Z160" s="183"/>
      <c r="AA160" s="183"/>
      <c r="AB160" s="183"/>
      <c r="AC160" s="183"/>
      <c r="AD160" s="24"/>
      <c r="AE160" s="187"/>
      <c r="AF160" s="188"/>
      <c r="AG160" s="189"/>
    </row>
    <row r="161" ht="13.5" thickBot="1"/>
    <row r="162" spans="1:33" ht="24" thickBot="1">
      <c r="A162" s="181" t="s">
        <v>39</v>
      </c>
      <c r="B162" s="181"/>
      <c r="C162" s="181"/>
      <c r="D162" s="181" t="s">
        <v>40</v>
      </c>
      <c r="E162" s="181"/>
      <c r="F162" s="181"/>
      <c r="G162" s="181" t="s">
        <v>41</v>
      </c>
      <c r="H162" s="181"/>
      <c r="I162" s="181"/>
      <c r="J162" s="181" t="s">
        <v>42</v>
      </c>
      <c r="K162" s="181"/>
      <c r="L162" s="181"/>
      <c r="M162" s="181" t="s">
        <v>43</v>
      </c>
      <c r="N162" s="181"/>
      <c r="O162" s="181"/>
      <c r="P162" s="181" t="s">
        <v>44</v>
      </c>
      <c r="Q162" s="181"/>
      <c r="R162" s="181"/>
      <c r="S162" s="181" t="s">
        <v>45</v>
      </c>
      <c r="T162" s="181"/>
      <c r="U162" s="181"/>
      <c r="V162" s="181" t="s">
        <v>46</v>
      </c>
      <c r="W162" s="181"/>
      <c r="X162" s="181"/>
      <c r="Y162" s="181" t="s">
        <v>47</v>
      </c>
      <c r="Z162" s="181"/>
      <c r="AA162" s="181"/>
      <c r="AB162" s="181" t="s">
        <v>48</v>
      </c>
      <c r="AC162" s="181"/>
      <c r="AD162" s="181"/>
      <c r="AE162" s="181" t="s">
        <v>49</v>
      </c>
      <c r="AF162" s="181"/>
      <c r="AG162" s="181"/>
    </row>
    <row r="163" spans="1:33" ht="12.75">
      <c r="A163" s="179"/>
      <c r="B163" s="173" t="s">
        <v>26</v>
      </c>
      <c r="C163" s="175"/>
      <c r="D163" s="171"/>
      <c r="E163" s="177" t="s">
        <v>26</v>
      </c>
      <c r="F163" s="175"/>
      <c r="G163" s="171"/>
      <c r="H163" s="173" t="s">
        <v>26</v>
      </c>
      <c r="I163" s="175"/>
      <c r="J163" s="171"/>
      <c r="K163" s="173" t="s">
        <v>26</v>
      </c>
      <c r="L163" s="175"/>
      <c r="M163" s="171"/>
      <c r="N163" s="173" t="s">
        <v>26</v>
      </c>
      <c r="O163" s="175"/>
      <c r="P163" s="179"/>
      <c r="Q163" s="173" t="s">
        <v>26</v>
      </c>
      <c r="R163" s="175"/>
      <c r="S163" s="171"/>
      <c r="T163" s="177" t="s">
        <v>26</v>
      </c>
      <c r="U163" s="175"/>
      <c r="V163" s="171"/>
      <c r="W163" s="173" t="s">
        <v>26</v>
      </c>
      <c r="X163" s="175"/>
      <c r="Y163" s="171"/>
      <c r="Z163" s="173" t="s">
        <v>26</v>
      </c>
      <c r="AA163" s="175"/>
      <c r="AB163" s="171"/>
      <c r="AC163" s="173" t="s">
        <v>26</v>
      </c>
      <c r="AD163" s="175"/>
      <c r="AE163" s="171"/>
      <c r="AF163" s="173" t="s">
        <v>26</v>
      </c>
      <c r="AG163" s="175"/>
    </row>
    <row r="164" spans="1:33" ht="13.5" thickBot="1">
      <c r="A164" s="180"/>
      <c r="B164" s="174"/>
      <c r="C164" s="176"/>
      <c r="D164" s="172"/>
      <c r="E164" s="178"/>
      <c r="F164" s="176"/>
      <c r="G164" s="172"/>
      <c r="H164" s="174"/>
      <c r="I164" s="176"/>
      <c r="J164" s="172"/>
      <c r="K164" s="174"/>
      <c r="L164" s="176"/>
      <c r="M164" s="172"/>
      <c r="N164" s="174"/>
      <c r="O164" s="176"/>
      <c r="P164" s="180"/>
      <c r="Q164" s="174"/>
      <c r="R164" s="176"/>
      <c r="S164" s="172"/>
      <c r="T164" s="178"/>
      <c r="U164" s="176"/>
      <c r="V164" s="172"/>
      <c r="W164" s="174"/>
      <c r="X164" s="176"/>
      <c r="Y164" s="172"/>
      <c r="Z164" s="174"/>
      <c r="AA164" s="176"/>
      <c r="AB164" s="172"/>
      <c r="AC164" s="174"/>
      <c r="AD164" s="176"/>
      <c r="AE164" s="172"/>
      <c r="AF164" s="174"/>
      <c r="AG164" s="176"/>
    </row>
    <row r="166" spans="11:18" ht="12.75">
      <c r="K166" s="190" t="s">
        <v>77</v>
      </c>
      <c r="L166" s="190"/>
      <c r="M166" s="190"/>
      <c r="N166" s="190"/>
      <c r="O166" s="190"/>
      <c r="P166" s="190"/>
      <c r="Q166" s="190"/>
      <c r="R166" s="190"/>
    </row>
    <row r="167" spans="1:33" ht="20.25">
      <c r="A167" s="24"/>
      <c r="B167" s="24"/>
      <c r="C167" s="24"/>
      <c r="D167" s="24"/>
      <c r="E167" s="24"/>
      <c r="F167" s="24"/>
      <c r="G167" s="24"/>
      <c r="H167" s="24"/>
      <c r="I167" s="24"/>
      <c r="J167" s="27" t="s">
        <v>50</v>
      </c>
      <c r="K167" s="190"/>
      <c r="L167" s="190"/>
      <c r="M167" s="190"/>
      <c r="N167" s="190"/>
      <c r="O167" s="190"/>
      <c r="P167" s="190"/>
      <c r="Q167" s="190"/>
      <c r="R167" s="190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ht="20.25">
      <c r="A168" s="24"/>
    </row>
    <row r="169" spans="32:33" ht="17.25" customHeight="1">
      <c r="AF169" s="66" t="s">
        <v>27</v>
      </c>
      <c r="AG169" s="47">
        <f>AG157+1</f>
        <v>15</v>
      </c>
    </row>
    <row r="170" spans="1:33" ht="24" thickBot="1">
      <c r="A170" s="23" t="s">
        <v>37</v>
      </c>
      <c r="B170" s="23"/>
      <c r="C170" s="23"/>
      <c r="D170" s="23"/>
      <c r="E170" s="23"/>
      <c r="F170" s="60">
        <f>'16_4 kaavio'!I37</f>
        <v>0</v>
      </c>
      <c r="G170" s="23"/>
      <c r="H170" s="23"/>
      <c r="I170" s="23"/>
      <c r="J170" s="23"/>
      <c r="K170" s="23"/>
      <c r="L170" s="23"/>
      <c r="M170" s="23"/>
      <c r="N170" s="23" t="s">
        <v>23</v>
      </c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 t="s">
        <v>23</v>
      </c>
      <c r="AF170" s="23"/>
      <c r="AG170" s="23"/>
    </row>
    <row r="171" spans="5:33" ht="12.75">
      <c r="E171" s="183">
        <f>Pelit!A23</f>
      </c>
      <c r="F171" s="183"/>
      <c r="G171" s="183"/>
      <c r="H171" s="183"/>
      <c r="I171" s="183"/>
      <c r="J171" s="183"/>
      <c r="K171" s="183"/>
      <c r="L171" s="183"/>
      <c r="N171" s="184"/>
      <c r="O171" s="185"/>
      <c r="P171" s="185"/>
      <c r="Q171" s="186"/>
      <c r="V171" s="183">
        <f>Pelit!F23</f>
      </c>
      <c r="W171" s="183"/>
      <c r="X171" s="183"/>
      <c r="Y171" s="183"/>
      <c r="Z171" s="183"/>
      <c r="AA171" s="183"/>
      <c r="AB171" s="183"/>
      <c r="AC171" s="183"/>
      <c r="AE171" s="184"/>
      <c r="AF171" s="185"/>
      <c r="AG171" s="186"/>
    </row>
    <row r="172" spans="1:33" ht="21" thickBot="1">
      <c r="A172" s="182" t="s">
        <v>75</v>
      </c>
      <c r="B172" s="182"/>
      <c r="C172" s="182"/>
      <c r="D172" s="182"/>
      <c r="E172" s="183"/>
      <c r="F172" s="183"/>
      <c r="G172" s="183"/>
      <c r="H172" s="183"/>
      <c r="I172" s="183"/>
      <c r="J172" s="183"/>
      <c r="K172" s="183"/>
      <c r="L172" s="183"/>
      <c r="N172" s="187"/>
      <c r="O172" s="188"/>
      <c r="P172" s="188"/>
      <c r="Q172" s="189"/>
      <c r="R172" s="182" t="s">
        <v>76</v>
      </c>
      <c r="S172" s="182"/>
      <c r="T172" s="182"/>
      <c r="U172" s="182"/>
      <c r="V172" s="183"/>
      <c r="W172" s="183"/>
      <c r="X172" s="183"/>
      <c r="Y172" s="183"/>
      <c r="Z172" s="183"/>
      <c r="AA172" s="183"/>
      <c r="AB172" s="183"/>
      <c r="AC172" s="183"/>
      <c r="AD172" s="24"/>
      <c r="AE172" s="187"/>
      <c r="AF172" s="188"/>
      <c r="AG172" s="189"/>
    </row>
    <row r="173" ht="13.5" thickBot="1"/>
    <row r="174" spans="1:33" ht="24" thickBot="1">
      <c r="A174" s="181" t="s">
        <v>39</v>
      </c>
      <c r="B174" s="181"/>
      <c r="C174" s="181"/>
      <c r="D174" s="181" t="s">
        <v>40</v>
      </c>
      <c r="E174" s="181"/>
      <c r="F174" s="181"/>
      <c r="G174" s="181" t="s">
        <v>41</v>
      </c>
      <c r="H174" s="181"/>
      <c r="I174" s="181"/>
      <c r="J174" s="181" t="s">
        <v>42</v>
      </c>
      <c r="K174" s="181"/>
      <c r="L174" s="181"/>
      <c r="M174" s="181" t="s">
        <v>43</v>
      </c>
      <c r="N174" s="181"/>
      <c r="O174" s="181"/>
      <c r="P174" s="181" t="s">
        <v>44</v>
      </c>
      <c r="Q174" s="181"/>
      <c r="R174" s="181"/>
      <c r="S174" s="181" t="s">
        <v>45</v>
      </c>
      <c r="T174" s="181"/>
      <c r="U174" s="181"/>
      <c r="V174" s="181" t="s">
        <v>46</v>
      </c>
      <c r="W174" s="181"/>
      <c r="X174" s="181"/>
      <c r="Y174" s="181" t="s">
        <v>47</v>
      </c>
      <c r="Z174" s="181"/>
      <c r="AA174" s="181"/>
      <c r="AB174" s="181" t="s">
        <v>48</v>
      </c>
      <c r="AC174" s="181"/>
      <c r="AD174" s="181"/>
      <c r="AE174" s="181" t="s">
        <v>49</v>
      </c>
      <c r="AF174" s="181"/>
      <c r="AG174" s="181"/>
    </row>
    <row r="175" spans="1:33" ht="12.75">
      <c r="A175" s="179"/>
      <c r="B175" s="173" t="s">
        <v>26</v>
      </c>
      <c r="C175" s="175"/>
      <c r="D175" s="171"/>
      <c r="E175" s="177" t="s">
        <v>26</v>
      </c>
      <c r="F175" s="175"/>
      <c r="G175" s="171"/>
      <c r="H175" s="173" t="s">
        <v>26</v>
      </c>
      <c r="I175" s="175"/>
      <c r="J175" s="171"/>
      <c r="K175" s="173" t="s">
        <v>26</v>
      </c>
      <c r="L175" s="175"/>
      <c r="M175" s="171"/>
      <c r="N175" s="173" t="s">
        <v>26</v>
      </c>
      <c r="O175" s="175"/>
      <c r="P175" s="179"/>
      <c r="Q175" s="173" t="s">
        <v>26</v>
      </c>
      <c r="R175" s="175"/>
      <c r="S175" s="171"/>
      <c r="T175" s="177" t="s">
        <v>26</v>
      </c>
      <c r="U175" s="175"/>
      <c r="V175" s="171"/>
      <c r="W175" s="173" t="s">
        <v>26</v>
      </c>
      <c r="X175" s="175"/>
      <c r="Y175" s="171"/>
      <c r="Z175" s="173" t="s">
        <v>26</v>
      </c>
      <c r="AA175" s="175"/>
      <c r="AB175" s="171"/>
      <c r="AC175" s="173" t="s">
        <v>26</v>
      </c>
      <c r="AD175" s="175"/>
      <c r="AE175" s="171"/>
      <c r="AF175" s="173" t="s">
        <v>26</v>
      </c>
      <c r="AG175" s="175"/>
    </row>
    <row r="176" spans="1:33" ht="13.5" thickBot="1">
      <c r="A176" s="180"/>
      <c r="B176" s="174"/>
      <c r="C176" s="176"/>
      <c r="D176" s="172"/>
      <c r="E176" s="178"/>
      <c r="F176" s="176"/>
      <c r="G176" s="172"/>
      <c r="H176" s="174"/>
      <c r="I176" s="176"/>
      <c r="J176" s="172"/>
      <c r="K176" s="174"/>
      <c r="L176" s="176"/>
      <c r="M176" s="172"/>
      <c r="N176" s="174"/>
      <c r="O176" s="176"/>
      <c r="P176" s="180"/>
      <c r="Q176" s="174"/>
      <c r="R176" s="176"/>
      <c r="S176" s="172"/>
      <c r="T176" s="178"/>
      <c r="U176" s="176"/>
      <c r="V176" s="172"/>
      <c r="W176" s="174"/>
      <c r="X176" s="176"/>
      <c r="Y176" s="172"/>
      <c r="Z176" s="174"/>
      <c r="AA176" s="176"/>
      <c r="AB176" s="172"/>
      <c r="AC176" s="174"/>
      <c r="AD176" s="176"/>
      <c r="AE176" s="172"/>
      <c r="AF176" s="174"/>
      <c r="AG176" s="176"/>
    </row>
    <row r="177" spans="1:33" ht="2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33" ht="2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190" t="s">
        <v>77</v>
      </c>
      <c r="L178" s="190"/>
      <c r="M178" s="190"/>
      <c r="N178" s="190"/>
      <c r="O178" s="190"/>
      <c r="P178" s="190"/>
      <c r="Q178" s="190"/>
      <c r="R178" s="190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 spans="1:33" ht="20.25">
      <c r="A179" s="24"/>
      <c r="B179" s="26"/>
      <c r="C179" s="26"/>
      <c r="D179" s="26"/>
      <c r="E179" s="26"/>
      <c r="F179" s="26"/>
      <c r="G179" s="26"/>
      <c r="H179" s="26"/>
      <c r="I179" s="26"/>
      <c r="J179" s="27" t="s">
        <v>50</v>
      </c>
      <c r="K179" s="190"/>
      <c r="L179" s="190"/>
      <c r="M179" s="190"/>
      <c r="N179" s="190"/>
      <c r="O179" s="190"/>
      <c r="P179" s="190"/>
      <c r="Q179" s="190"/>
      <c r="R179" s="190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 spans="1:33" ht="2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ht="2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66" t="s">
        <v>27</v>
      </c>
      <c r="AG181" s="47">
        <f>AG169+1</f>
        <v>16</v>
      </c>
    </row>
    <row r="182" spans="1:33" ht="24" thickBot="1">
      <c r="A182" s="23" t="s">
        <v>37</v>
      </c>
      <c r="B182" s="23"/>
      <c r="C182" s="23"/>
      <c r="D182" s="23"/>
      <c r="E182" s="23"/>
      <c r="F182" s="60">
        <f>'16_4 kaavio'!I49</f>
        <v>0</v>
      </c>
      <c r="G182" s="23"/>
      <c r="H182" s="23"/>
      <c r="I182" s="23"/>
      <c r="J182" s="23"/>
      <c r="K182" s="23"/>
      <c r="L182" s="23"/>
      <c r="M182" s="23"/>
      <c r="N182" s="23" t="s">
        <v>23</v>
      </c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 t="s">
        <v>23</v>
      </c>
      <c r="AF182" s="23"/>
      <c r="AG182" s="23"/>
    </row>
    <row r="183" spans="5:33" ht="12.75">
      <c r="E183" s="183">
        <f>Pelit!A24</f>
      </c>
      <c r="F183" s="183"/>
      <c r="G183" s="183"/>
      <c r="H183" s="183"/>
      <c r="I183" s="183"/>
      <c r="J183" s="183"/>
      <c r="K183" s="183"/>
      <c r="L183" s="183"/>
      <c r="N183" s="184"/>
      <c r="O183" s="185"/>
      <c r="P183" s="185"/>
      <c r="Q183" s="186"/>
      <c r="V183" s="183">
        <f>Pelit!F24</f>
      </c>
      <c r="W183" s="183"/>
      <c r="X183" s="183"/>
      <c r="Y183" s="183"/>
      <c r="Z183" s="183"/>
      <c r="AA183" s="183"/>
      <c r="AB183" s="183"/>
      <c r="AC183" s="183"/>
      <c r="AE183" s="184"/>
      <c r="AF183" s="185"/>
      <c r="AG183" s="186"/>
    </row>
    <row r="184" spans="1:33" ht="21" thickBot="1">
      <c r="A184" s="182" t="s">
        <v>75</v>
      </c>
      <c r="B184" s="182"/>
      <c r="C184" s="182"/>
      <c r="D184" s="182"/>
      <c r="E184" s="183"/>
      <c r="F184" s="183"/>
      <c r="G184" s="183"/>
      <c r="H184" s="183"/>
      <c r="I184" s="183"/>
      <c r="J184" s="183"/>
      <c r="K184" s="183"/>
      <c r="L184" s="183"/>
      <c r="N184" s="187"/>
      <c r="O184" s="188"/>
      <c r="P184" s="188"/>
      <c r="Q184" s="189"/>
      <c r="R184" s="182" t="s">
        <v>76</v>
      </c>
      <c r="S184" s="182"/>
      <c r="T184" s="182"/>
      <c r="U184" s="182"/>
      <c r="V184" s="183"/>
      <c r="W184" s="183"/>
      <c r="X184" s="183"/>
      <c r="Y184" s="183"/>
      <c r="Z184" s="183"/>
      <c r="AA184" s="183"/>
      <c r="AB184" s="183"/>
      <c r="AC184" s="183"/>
      <c r="AD184" s="24"/>
      <c r="AE184" s="187"/>
      <c r="AF184" s="188"/>
      <c r="AG184" s="189"/>
    </row>
    <row r="185" ht="13.5" thickBot="1"/>
    <row r="186" spans="1:33" ht="24" thickBot="1">
      <c r="A186" s="181" t="s">
        <v>39</v>
      </c>
      <c r="B186" s="181"/>
      <c r="C186" s="181"/>
      <c r="D186" s="181" t="s">
        <v>40</v>
      </c>
      <c r="E186" s="181"/>
      <c r="F186" s="181"/>
      <c r="G186" s="181" t="s">
        <v>41</v>
      </c>
      <c r="H186" s="181"/>
      <c r="I186" s="181"/>
      <c r="J186" s="181" t="s">
        <v>42</v>
      </c>
      <c r="K186" s="181"/>
      <c r="L186" s="181"/>
      <c r="M186" s="181" t="s">
        <v>43</v>
      </c>
      <c r="N186" s="181"/>
      <c r="O186" s="181"/>
      <c r="P186" s="181" t="s">
        <v>44</v>
      </c>
      <c r="Q186" s="181"/>
      <c r="R186" s="181"/>
      <c r="S186" s="181" t="s">
        <v>45</v>
      </c>
      <c r="T186" s="181"/>
      <c r="U186" s="181"/>
      <c r="V186" s="181" t="s">
        <v>46</v>
      </c>
      <c r="W186" s="181"/>
      <c r="X186" s="181"/>
      <c r="Y186" s="181" t="s">
        <v>47</v>
      </c>
      <c r="Z186" s="181"/>
      <c r="AA186" s="181"/>
      <c r="AB186" s="181" t="s">
        <v>48</v>
      </c>
      <c r="AC186" s="181"/>
      <c r="AD186" s="181"/>
      <c r="AE186" s="181" t="s">
        <v>49</v>
      </c>
      <c r="AF186" s="181"/>
      <c r="AG186" s="181"/>
    </row>
    <row r="187" spans="1:33" ht="12.75">
      <c r="A187" s="179"/>
      <c r="B187" s="173" t="s">
        <v>26</v>
      </c>
      <c r="C187" s="175"/>
      <c r="D187" s="171"/>
      <c r="E187" s="177" t="s">
        <v>26</v>
      </c>
      <c r="F187" s="175"/>
      <c r="G187" s="171"/>
      <c r="H187" s="173" t="s">
        <v>26</v>
      </c>
      <c r="I187" s="175"/>
      <c r="J187" s="171"/>
      <c r="K187" s="173" t="s">
        <v>26</v>
      </c>
      <c r="L187" s="175"/>
      <c r="M187" s="171"/>
      <c r="N187" s="173" t="s">
        <v>26</v>
      </c>
      <c r="O187" s="175"/>
      <c r="P187" s="179"/>
      <c r="Q187" s="173" t="s">
        <v>26</v>
      </c>
      <c r="R187" s="175"/>
      <c r="S187" s="171"/>
      <c r="T187" s="177" t="s">
        <v>26</v>
      </c>
      <c r="U187" s="175"/>
      <c r="V187" s="171"/>
      <c r="W187" s="173" t="s">
        <v>26</v>
      </c>
      <c r="X187" s="175"/>
      <c r="Y187" s="171"/>
      <c r="Z187" s="173" t="s">
        <v>26</v>
      </c>
      <c r="AA187" s="175"/>
      <c r="AB187" s="171"/>
      <c r="AC187" s="173" t="s">
        <v>26</v>
      </c>
      <c r="AD187" s="175"/>
      <c r="AE187" s="171"/>
      <c r="AF187" s="173" t="s">
        <v>26</v>
      </c>
      <c r="AG187" s="175"/>
    </row>
    <row r="188" spans="1:33" ht="13.5" thickBot="1">
      <c r="A188" s="180"/>
      <c r="B188" s="174"/>
      <c r="C188" s="176"/>
      <c r="D188" s="172"/>
      <c r="E188" s="178"/>
      <c r="F188" s="176"/>
      <c r="G188" s="172"/>
      <c r="H188" s="174"/>
      <c r="I188" s="176"/>
      <c r="J188" s="172"/>
      <c r="K188" s="174"/>
      <c r="L188" s="176"/>
      <c r="M188" s="172"/>
      <c r="N188" s="174"/>
      <c r="O188" s="176"/>
      <c r="P188" s="180"/>
      <c r="Q188" s="174"/>
      <c r="R188" s="176"/>
      <c r="S188" s="172"/>
      <c r="T188" s="178"/>
      <c r="U188" s="176"/>
      <c r="V188" s="172"/>
      <c r="W188" s="174"/>
      <c r="X188" s="176"/>
      <c r="Y188" s="172"/>
      <c r="Z188" s="174"/>
      <c r="AA188" s="176"/>
      <c r="AB188" s="172"/>
      <c r="AC188" s="174"/>
      <c r="AD188" s="176"/>
      <c r="AE188" s="172"/>
      <c r="AF188" s="174"/>
      <c r="AG188" s="176"/>
    </row>
    <row r="190" spans="11:18" ht="12.75">
      <c r="K190" s="190" t="s">
        <v>77</v>
      </c>
      <c r="L190" s="190"/>
      <c r="M190" s="190"/>
      <c r="N190" s="190"/>
      <c r="O190" s="190"/>
      <c r="P190" s="190"/>
      <c r="Q190" s="190"/>
      <c r="R190" s="190"/>
    </row>
    <row r="191" spans="1:33" ht="20.25">
      <c r="A191" s="24"/>
      <c r="B191" s="24"/>
      <c r="C191" s="24"/>
      <c r="D191" s="24"/>
      <c r="E191" s="24"/>
      <c r="F191" s="24"/>
      <c r="G191" s="24"/>
      <c r="H191" s="24"/>
      <c r="I191" s="24"/>
      <c r="J191" s="27" t="s">
        <v>50</v>
      </c>
      <c r="K191" s="190"/>
      <c r="L191" s="190"/>
      <c r="M191" s="190"/>
      <c r="N191" s="190"/>
      <c r="O191" s="190"/>
      <c r="P191" s="190"/>
      <c r="Q191" s="190"/>
      <c r="R191" s="190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ht="20.25">
      <c r="A192" s="24"/>
    </row>
    <row r="193" spans="32:33" ht="18" customHeight="1">
      <c r="AF193" s="66" t="s">
        <v>29</v>
      </c>
      <c r="AG193" s="47">
        <f>AG181+1</f>
        <v>17</v>
      </c>
    </row>
    <row r="194" spans="1:33" ht="24" thickBot="1">
      <c r="A194" s="23" t="s">
        <v>37</v>
      </c>
      <c r="B194" s="23"/>
      <c r="C194" s="23"/>
      <c r="D194" s="23"/>
      <c r="E194" s="23"/>
      <c r="F194" s="60">
        <f>'16_4 kaavio'!G9</f>
        <v>0</v>
      </c>
      <c r="G194" s="23"/>
      <c r="H194" s="23"/>
      <c r="I194" s="23"/>
      <c r="J194" s="23"/>
      <c r="K194" s="23"/>
      <c r="L194" s="23"/>
      <c r="M194" s="23"/>
      <c r="N194" s="23" t="s">
        <v>23</v>
      </c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 t="s">
        <v>23</v>
      </c>
      <c r="AF194" s="23"/>
      <c r="AG194" s="23"/>
    </row>
    <row r="195" spans="5:33" ht="12.75">
      <c r="E195" s="183">
        <f>Pelit!A27</f>
      </c>
      <c r="F195" s="183"/>
      <c r="G195" s="183"/>
      <c r="H195" s="183"/>
      <c r="I195" s="183"/>
      <c r="J195" s="183"/>
      <c r="K195" s="183"/>
      <c r="L195" s="183"/>
      <c r="N195" s="184"/>
      <c r="O195" s="185"/>
      <c r="P195" s="185"/>
      <c r="Q195" s="186"/>
      <c r="V195" s="183">
        <f>Pelit!F27</f>
      </c>
      <c r="W195" s="183"/>
      <c r="X195" s="183"/>
      <c r="Y195" s="183"/>
      <c r="Z195" s="183"/>
      <c r="AA195" s="183"/>
      <c r="AB195" s="183"/>
      <c r="AC195" s="183"/>
      <c r="AE195" s="184"/>
      <c r="AF195" s="185"/>
      <c r="AG195" s="186"/>
    </row>
    <row r="196" spans="1:33" ht="21" thickBot="1">
      <c r="A196" s="182" t="s">
        <v>75</v>
      </c>
      <c r="B196" s="182"/>
      <c r="C196" s="182"/>
      <c r="D196" s="182"/>
      <c r="E196" s="183"/>
      <c r="F196" s="183"/>
      <c r="G196" s="183"/>
      <c r="H196" s="183"/>
      <c r="I196" s="183"/>
      <c r="J196" s="183"/>
      <c r="K196" s="183"/>
      <c r="L196" s="183"/>
      <c r="N196" s="187"/>
      <c r="O196" s="188"/>
      <c r="P196" s="188"/>
      <c r="Q196" s="189"/>
      <c r="R196" s="182" t="s">
        <v>76</v>
      </c>
      <c r="S196" s="182"/>
      <c r="T196" s="182"/>
      <c r="U196" s="182"/>
      <c r="V196" s="183"/>
      <c r="W196" s="183"/>
      <c r="X196" s="183"/>
      <c r="Y196" s="183"/>
      <c r="Z196" s="183"/>
      <c r="AA196" s="183"/>
      <c r="AB196" s="183"/>
      <c r="AC196" s="183"/>
      <c r="AD196" s="24"/>
      <c r="AE196" s="187"/>
      <c r="AF196" s="188"/>
      <c r="AG196" s="189"/>
    </row>
    <row r="197" ht="13.5" thickBot="1"/>
    <row r="198" spans="1:33" ht="24" thickBot="1">
      <c r="A198" s="181" t="s">
        <v>39</v>
      </c>
      <c r="B198" s="181"/>
      <c r="C198" s="181"/>
      <c r="D198" s="181" t="s">
        <v>40</v>
      </c>
      <c r="E198" s="181"/>
      <c r="F198" s="181"/>
      <c r="G198" s="181" t="s">
        <v>41</v>
      </c>
      <c r="H198" s="181"/>
      <c r="I198" s="181"/>
      <c r="J198" s="181" t="s">
        <v>42</v>
      </c>
      <c r="K198" s="181"/>
      <c r="L198" s="181"/>
      <c r="M198" s="181" t="s">
        <v>43</v>
      </c>
      <c r="N198" s="181"/>
      <c r="O198" s="181"/>
      <c r="P198" s="181" t="s">
        <v>44</v>
      </c>
      <c r="Q198" s="181"/>
      <c r="R198" s="181"/>
      <c r="S198" s="181" t="s">
        <v>45</v>
      </c>
      <c r="T198" s="181"/>
      <c r="U198" s="181"/>
      <c r="V198" s="181" t="s">
        <v>46</v>
      </c>
      <c r="W198" s="181"/>
      <c r="X198" s="181"/>
      <c r="Y198" s="181" t="s">
        <v>47</v>
      </c>
      <c r="Z198" s="181"/>
      <c r="AA198" s="181"/>
      <c r="AB198" s="181" t="s">
        <v>48</v>
      </c>
      <c r="AC198" s="181"/>
      <c r="AD198" s="181"/>
      <c r="AE198" s="181" t="s">
        <v>49</v>
      </c>
      <c r="AF198" s="181"/>
      <c r="AG198" s="181"/>
    </row>
    <row r="199" spans="1:33" ht="12.75">
      <c r="A199" s="179"/>
      <c r="B199" s="173" t="s">
        <v>26</v>
      </c>
      <c r="C199" s="175"/>
      <c r="D199" s="171"/>
      <c r="E199" s="177" t="s">
        <v>26</v>
      </c>
      <c r="F199" s="175"/>
      <c r="G199" s="171"/>
      <c r="H199" s="173" t="s">
        <v>26</v>
      </c>
      <c r="I199" s="175"/>
      <c r="J199" s="171"/>
      <c r="K199" s="173" t="s">
        <v>26</v>
      </c>
      <c r="L199" s="175"/>
      <c r="M199" s="171"/>
      <c r="N199" s="173" t="s">
        <v>26</v>
      </c>
      <c r="O199" s="175"/>
      <c r="P199" s="179"/>
      <c r="Q199" s="173" t="s">
        <v>26</v>
      </c>
      <c r="R199" s="175"/>
      <c r="S199" s="171"/>
      <c r="T199" s="177" t="s">
        <v>26</v>
      </c>
      <c r="U199" s="175"/>
      <c r="V199" s="171"/>
      <c r="W199" s="173" t="s">
        <v>26</v>
      </c>
      <c r="X199" s="175"/>
      <c r="Y199" s="171"/>
      <c r="Z199" s="173" t="s">
        <v>26</v>
      </c>
      <c r="AA199" s="175"/>
      <c r="AB199" s="171"/>
      <c r="AC199" s="173" t="s">
        <v>26</v>
      </c>
      <c r="AD199" s="175"/>
      <c r="AE199" s="171"/>
      <c r="AF199" s="173" t="s">
        <v>26</v>
      </c>
      <c r="AG199" s="175"/>
    </row>
    <row r="200" spans="1:33" ht="13.5" thickBot="1">
      <c r="A200" s="180"/>
      <c r="B200" s="174"/>
      <c r="C200" s="176"/>
      <c r="D200" s="172"/>
      <c r="E200" s="178"/>
      <c r="F200" s="176"/>
      <c r="G200" s="172"/>
      <c r="H200" s="174"/>
      <c r="I200" s="176"/>
      <c r="J200" s="172"/>
      <c r="K200" s="174"/>
      <c r="L200" s="176"/>
      <c r="M200" s="172"/>
      <c r="N200" s="174"/>
      <c r="O200" s="176"/>
      <c r="P200" s="180"/>
      <c r="Q200" s="174"/>
      <c r="R200" s="176"/>
      <c r="S200" s="172"/>
      <c r="T200" s="178"/>
      <c r="U200" s="176"/>
      <c r="V200" s="172"/>
      <c r="W200" s="174"/>
      <c r="X200" s="176"/>
      <c r="Y200" s="172"/>
      <c r="Z200" s="174"/>
      <c r="AA200" s="176"/>
      <c r="AB200" s="172"/>
      <c r="AC200" s="174"/>
      <c r="AD200" s="176"/>
      <c r="AE200" s="172"/>
      <c r="AF200" s="174"/>
      <c r="AG200" s="176"/>
    </row>
    <row r="201" spans="1:33" ht="2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</row>
    <row r="202" spans="1:33" ht="2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190" t="s">
        <v>77</v>
      </c>
      <c r="L202" s="190"/>
      <c r="M202" s="190"/>
      <c r="N202" s="190"/>
      <c r="O202" s="190"/>
      <c r="P202" s="190"/>
      <c r="Q202" s="190"/>
      <c r="R202" s="190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</row>
    <row r="203" spans="1:33" ht="20.25">
      <c r="A203" s="24"/>
      <c r="B203" s="26"/>
      <c r="C203" s="26"/>
      <c r="D203" s="26"/>
      <c r="E203" s="26"/>
      <c r="F203" s="26"/>
      <c r="G203" s="26"/>
      <c r="H203" s="26"/>
      <c r="I203" s="26"/>
      <c r="J203" s="27" t="s">
        <v>50</v>
      </c>
      <c r="K203" s="190"/>
      <c r="L203" s="190"/>
      <c r="M203" s="190"/>
      <c r="N203" s="190"/>
      <c r="O203" s="190"/>
      <c r="P203" s="190"/>
      <c r="Q203" s="190"/>
      <c r="R203" s="190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</row>
    <row r="204" spans="1:33" ht="2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1:33" ht="2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66" t="s">
        <v>29</v>
      </c>
      <c r="AG205" s="47">
        <f>AG193+1</f>
        <v>18</v>
      </c>
    </row>
    <row r="206" spans="1:33" ht="24" thickBot="1">
      <c r="A206" s="23" t="s">
        <v>37</v>
      </c>
      <c r="B206" s="23"/>
      <c r="C206" s="23"/>
      <c r="D206" s="23"/>
      <c r="E206" s="23"/>
      <c r="F206" s="60">
        <f>'16_4 kaavio'!G21</f>
        <v>0</v>
      </c>
      <c r="G206" s="23"/>
      <c r="H206" s="23"/>
      <c r="I206" s="23"/>
      <c r="J206" s="23"/>
      <c r="K206" s="23"/>
      <c r="L206" s="23"/>
      <c r="M206" s="23"/>
      <c r="N206" s="23" t="s">
        <v>23</v>
      </c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 t="s">
        <v>23</v>
      </c>
      <c r="AF206" s="23"/>
      <c r="AG206" s="23"/>
    </row>
    <row r="207" spans="5:33" ht="12.75">
      <c r="E207" s="183">
        <f>Pelit!A28</f>
      </c>
      <c r="F207" s="183"/>
      <c r="G207" s="183"/>
      <c r="H207" s="183"/>
      <c r="I207" s="183"/>
      <c r="J207" s="183"/>
      <c r="K207" s="183"/>
      <c r="L207" s="183"/>
      <c r="N207" s="184"/>
      <c r="O207" s="185"/>
      <c r="P207" s="185"/>
      <c r="Q207" s="186"/>
      <c r="V207" s="183">
        <f>Pelit!F28</f>
      </c>
      <c r="W207" s="183"/>
      <c r="X207" s="183"/>
      <c r="Y207" s="183"/>
      <c r="Z207" s="183"/>
      <c r="AA207" s="183"/>
      <c r="AB207" s="183"/>
      <c r="AC207" s="183"/>
      <c r="AE207" s="184"/>
      <c r="AF207" s="185"/>
      <c r="AG207" s="186"/>
    </row>
    <row r="208" spans="1:33" ht="21" thickBot="1">
      <c r="A208" s="182" t="s">
        <v>75</v>
      </c>
      <c r="B208" s="182"/>
      <c r="C208" s="182"/>
      <c r="D208" s="182"/>
      <c r="E208" s="183"/>
      <c r="F208" s="183"/>
      <c r="G208" s="183"/>
      <c r="H208" s="183"/>
      <c r="I208" s="183"/>
      <c r="J208" s="183"/>
      <c r="K208" s="183"/>
      <c r="L208" s="183"/>
      <c r="N208" s="187"/>
      <c r="O208" s="188"/>
      <c r="P208" s="188"/>
      <c r="Q208" s="189"/>
      <c r="R208" s="182" t="s">
        <v>76</v>
      </c>
      <c r="S208" s="182"/>
      <c r="T208" s="182"/>
      <c r="U208" s="182"/>
      <c r="V208" s="183"/>
      <c r="W208" s="183"/>
      <c r="X208" s="183"/>
      <c r="Y208" s="183"/>
      <c r="Z208" s="183"/>
      <c r="AA208" s="183"/>
      <c r="AB208" s="183"/>
      <c r="AC208" s="183"/>
      <c r="AD208" s="24"/>
      <c r="AE208" s="187"/>
      <c r="AF208" s="188"/>
      <c r="AG208" s="189"/>
    </row>
    <row r="209" ht="13.5" thickBot="1"/>
    <row r="210" spans="1:33" ht="24" thickBot="1">
      <c r="A210" s="181" t="s">
        <v>39</v>
      </c>
      <c r="B210" s="181"/>
      <c r="C210" s="181"/>
      <c r="D210" s="181" t="s">
        <v>40</v>
      </c>
      <c r="E210" s="181"/>
      <c r="F210" s="181"/>
      <c r="G210" s="181" t="s">
        <v>41</v>
      </c>
      <c r="H210" s="181"/>
      <c r="I210" s="181"/>
      <c r="J210" s="181" t="s">
        <v>42</v>
      </c>
      <c r="K210" s="181"/>
      <c r="L210" s="181"/>
      <c r="M210" s="181" t="s">
        <v>43</v>
      </c>
      <c r="N210" s="181"/>
      <c r="O210" s="181"/>
      <c r="P210" s="181" t="s">
        <v>44</v>
      </c>
      <c r="Q210" s="181"/>
      <c r="R210" s="181"/>
      <c r="S210" s="181" t="s">
        <v>45</v>
      </c>
      <c r="T210" s="181"/>
      <c r="U210" s="181"/>
      <c r="V210" s="181" t="s">
        <v>46</v>
      </c>
      <c r="W210" s="181"/>
      <c r="X210" s="181"/>
      <c r="Y210" s="181" t="s">
        <v>47</v>
      </c>
      <c r="Z210" s="181"/>
      <c r="AA210" s="181"/>
      <c r="AB210" s="181" t="s">
        <v>48</v>
      </c>
      <c r="AC210" s="181"/>
      <c r="AD210" s="181"/>
      <c r="AE210" s="181" t="s">
        <v>49</v>
      </c>
      <c r="AF210" s="181"/>
      <c r="AG210" s="181"/>
    </row>
    <row r="211" spans="1:33" ht="12.75">
      <c r="A211" s="179"/>
      <c r="B211" s="173" t="s">
        <v>26</v>
      </c>
      <c r="C211" s="175"/>
      <c r="D211" s="171"/>
      <c r="E211" s="177" t="s">
        <v>26</v>
      </c>
      <c r="F211" s="175"/>
      <c r="G211" s="171"/>
      <c r="H211" s="173" t="s">
        <v>26</v>
      </c>
      <c r="I211" s="175"/>
      <c r="J211" s="171"/>
      <c r="K211" s="173" t="s">
        <v>26</v>
      </c>
      <c r="L211" s="175"/>
      <c r="M211" s="171"/>
      <c r="N211" s="173" t="s">
        <v>26</v>
      </c>
      <c r="O211" s="175"/>
      <c r="P211" s="179"/>
      <c r="Q211" s="173" t="s">
        <v>26</v>
      </c>
      <c r="R211" s="175"/>
      <c r="S211" s="171"/>
      <c r="T211" s="177" t="s">
        <v>26</v>
      </c>
      <c r="U211" s="175"/>
      <c r="V211" s="171"/>
      <c r="W211" s="173" t="s">
        <v>26</v>
      </c>
      <c r="X211" s="175"/>
      <c r="Y211" s="171"/>
      <c r="Z211" s="173" t="s">
        <v>26</v>
      </c>
      <c r="AA211" s="175"/>
      <c r="AB211" s="171"/>
      <c r="AC211" s="173" t="s">
        <v>26</v>
      </c>
      <c r="AD211" s="175"/>
      <c r="AE211" s="171"/>
      <c r="AF211" s="173" t="s">
        <v>26</v>
      </c>
      <c r="AG211" s="175"/>
    </row>
    <row r="212" spans="1:33" ht="13.5" thickBot="1">
      <c r="A212" s="180"/>
      <c r="B212" s="174"/>
      <c r="C212" s="176"/>
      <c r="D212" s="172"/>
      <c r="E212" s="178"/>
      <c r="F212" s="176"/>
      <c r="G212" s="172"/>
      <c r="H212" s="174"/>
      <c r="I212" s="176"/>
      <c r="J212" s="172"/>
      <c r="K212" s="174"/>
      <c r="L212" s="176"/>
      <c r="M212" s="172"/>
      <c r="N212" s="174"/>
      <c r="O212" s="176"/>
      <c r="P212" s="180"/>
      <c r="Q212" s="174"/>
      <c r="R212" s="176"/>
      <c r="S212" s="172"/>
      <c r="T212" s="178"/>
      <c r="U212" s="176"/>
      <c r="V212" s="172"/>
      <c r="W212" s="174"/>
      <c r="X212" s="176"/>
      <c r="Y212" s="172"/>
      <c r="Z212" s="174"/>
      <c r="AA212" s="176"/>
      <c r="AB212" s="172"/>
      <c r="AC212" s="174"/>
      <c r="AD212" s="176"/>
      <c r="AE212" s="172"/>
      <c r="AF212" s="174"/>
      <c r="AG212" s="176"/>
    </row>
    <row r="214" spans="11:18" ht="12.75">
      <c r="K214" s="190" t="s">
        <v>77</v>
      </c>
      <c r="L214" s="190"/>
      <c r="M214" s="190"/>
      <c r="N214" s="190"/>
      <c r="O214" s="190"/>
      <c r="P214" s="190"/>
      <c r="Q214" s="190"/>
      <c r="R214" s="190"/>
    </row>
    <row r="215" spans="1:33" ht="20.25">
      <c r="A215" s="24"/>
      <c r="B215" s="24"/>
      <c r="C215" s="24"/>
      <c r="D215" s="24"/>
      <c r="E215" s="24"/>
      <c r="F215" s="24"/>
      <c r="G215" s="24"/>
      <c r="H215" s="24"/>
      <c r="I215" s="24"/>
      <c r="J215" s="27" t="s">
        <v>50</v>
      </c>
      <c r="K215" s="190"/>
      <c r="L215" s="190"/>
      <c r="M215" s="190"/>
      <c r="N215" s="190"/>
      <c r="O215" s="190"/>
      <c r="P215" s="190"/>
      <c r="Q215" s="190"/>
      <c r="R215" s="190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ht="20.25">
      <c r="A216" s="24"/>
    </row>
    <row r="217" spans="32:33" ht="18" customHeight="1">
      <c r="AF217" s="66" t="s">
        <v>29</v>
      </c>
      <c r="AG217" s="47">
        <f>AG205+1</f>
        <v>19</v>
      </c>
    </row>
    <row r="218" spans="1:33" ht="24" thickBot="1">
      <c r="A218" s="23" t="s">
        <v>37</v>
      </c>
      <c r="B218" s="23"/>
      <c r="C218" s="23"/>
      <c r="D218" s="23"/>
      <c r="E218" s="23"/>
      <c r="F218" s="60">
        <f>'16_4 kaavio'!G37</f>
        <v>0</v>
      </c>
      <c r="G218" s="23"/>
      <c r="H218" s="23"/>
      <c r="I218" s="23"/>
      <c r="J218" s="23"/>
      <c r="K218" s="23"/>
      <c r="L218" s="23"/>
      <c r="M218" s="23"/>
      <c r="N218" s="23" t="s">
        <v>23</v>
      </c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 t="s">
        <v>23</v>
      </c>
      <c r="AF218" s="23"/>
      <c r="AG218" s="23"/>
    </row>
    <row r="219" spans="5:33" ht="12.75">
      <c r="E219" s="183">
        <f>Pelit!A29</f>
      </c>
      <c r="F219" s="183"/>
      <c r="G219" s="183"/>
      <c r="H219" s="183"/>
      <c r="I219" s="183"/>
      <c r="J219" s="183"/>
      <c r="K219" s="183"/>
      <c r="L219" s="183"/>
      <c r="N219" s="184"/>
      <c r="O219" s="185"/>
      <c r="P219" s="185"/>
      <c r="Q219" s="186"/>
      <c r="V219" s="183">
        <f>Pelit!F29</f>
      </c>
      <c r="W219" s="183"/>
      <c r="X219" s="183"/>
      <c r="Y219" s="183"/>
      <c r="Z219" s="183"/>
      <c r="AA219" s="183"/>
      <c r="AB219" s="183"/>
      <c r="AC219" s="183"/>
      <c r="AE219" s="184"/>
      <c r="AF219" s="185"/>
      <c r="AG219" s="186"/>
    </row>
    <row r="220" spans="1:33" ht="21" thickBot="1">
      <c r="A220" s="182" t="s">
        <v>75</v>
      </c>
      <c r="B220" s="182"/>
      <c r="C220" s="182"/>
      <c r="D220" s="182"/>
      <c r="E220" s="183"/>
      <c r="F220" s="183"/>
      <c r="G220" s="183"/>
      <c r="H220" s="183"/>
      <c r="I220" s="183"/>
      <c r="J220" s="183"/>
      <c r="K220" s="183"/>
      <c r="L220" s="183"/>
      <c r="N220" s="187"/>
      <c r="O220" s="188"/>
      <c r="P220" s="188"/>
      <c r="Q220" s="189"/>
      <c r="R220" s="182" t="s">
        <v>76</v>
      </c>
      <c r="S220" s="182"/>
      <c r="T220" s="182"/>
      <c r="U220" s="182"/>
      <c r="V220" s="183"/>
      <c r="W220" s="183"/>
      <c r="X220" s="183"/>
      <c r="Y220" s="183"/>
      <c r="Z220" s="183"/>
      <c r="AA220" s="183"/>
      <c r="AB220" s="183"/>
      <c r="AC220" s="183"/>
      <c r="AD220" s="24"/>
      <c r="AE220" s="187"/>
      <c r="AF220" s="188"/>
      <c r="AG220" s="189"/>
    </row>
    <row r="221" ht="13.5" thickBot="1"/>
    <row r="222" spans="1:33" ht="24" thickBot="1">
      <c r="A222" s="181" t="s">
        <v>39</v>
      </c>
      <c r="B222" s="181"/>
      <c r="C222" s="181"/>
      <c r="D222" s="181" t="s">
        <v>40</v>
      </c>
      <c r="E222" s="181"/>
      <c r="F222" s="181"/>
      <c r="G222" s="181" t="s">
        <v>41</v>
      </c>
      <c r="H222" s="181"/>
      <c r="I222" s="181"/>
      <c r="J222" s="181" t="s">
        <v>42</v>
      </c>
      <c r="K222" s="181"/>
      <c r="L222" s="181"/>
      <c r="M222" s="181" t="s">
        <v>43</v>
      </c>
      <c r="N222" s="181"/>
      <c r="O222" s="181"/>
      <c r="P222" s="181" t="s">
        <v>44</v>
      </c>
      <c r="Q222" s="181"/>
      <c r="R222" s="181"/>
      <c r="S222" s="181" t="s">
        <v>45</v>
      </c>
      <c r="T222" s="181"/>
      <c r="U222" s="181"/>
      <c r="V222" s="181" t="s">
        <v>46</v>
      </c>
      <c r="W222" s="181"/>
      <c r="X222" s="181"/>
      <c r="Y222" s="181" t="s">
        <v>47</v>
      </c>
      <c r="Z222" s="181"/>
      <c r="AA222" s="181"/>
      <c r="AB222" s="181" t="s">
        <v>48</v>
      </c>
      <c r="AC222" s="181"/>
      <c r="AD222" s="181"/>
      <c r="AE222" s="181" t="s">
        <v>49</v>
      </c>
      <c r="AF222" s="181"/>
      <c r="AG222" s="181"/>
    </row>
    <row r="223" spans="1:33" ht="12.75">
      <c r="A223" s="179"/>
      <c r="B223" s="173" t="s">
        <v>26</v>
      </c>
      <c r="C223" s="175"/>
      <c r="D223" s="171"/>
      <c r="E223" s="177" t="s">
        <v>26</v>
      </c>
      <c r="F223" s="175"/>
      <c r="G223" s="171"/>
      <c r="H223" s="173" t="s">
        <v>26</v>
      </c>
      <c r="I223" s="175"/>
      <c r="J223" s="171"/>
      <c r="K223" s="173" t="s">
        <v>26</v>
      </c>
      <c r="L223" s="175"/>
      <c r="M223" s="171"/>
      <c r="N223" s="173" t="s">
        <v>26</v>
      </c>
      <c r="O223" s="175"/>
      <c r="P223" s="179"/>
      <c r="Q223" s="173" t="s">
        <v>26</v>
      </c>
      <c r="R223" s="175"/>
      <c r="S223" s="171"/>
      <c r="T223" s="177" t="s">
        <v>26</v>
      </c>
      <c r="U223" s="175"/>
      <c r="V223" s="171"/>
      <c r="W223" s="173" t="s">
        <v>26</v>
      </c>
      <c r="X223" s="175"/>
      <c r="Y223" s="171"/>
      <c r="Z223" s="173" t="s">
        <v>26</v>
      </c>
      <c r="AA223" s="175"/>
      <c r="AB223" s="171"/>
      <c r="AC223" s="173" t="s">
        <v>26</v>
      </c>
      <c r="AD223" s="175"/>
      <c r="AE223" s="171"/>
      <c r="AF223" s="173" t="s">
        <v>26</v>
      </c>
      <c r="AG223" s="175"/>
    </row>
    <row r="224" spans="1:33" ht="13.5" thickBot="1">
      <c r="A224" s="180"/>
      <c r="B224" s="174"/>
      <c r="C224" s="176"/>
      <c r="D224" s="172"/>
      <c r="E224" s="178"/>
      <c r="F224" s="176"/>
      <c r="G224" s="172"/>
      <c r="H224" s="174"/>
      <c r="I224" s="176"/>
      <c r="J224" s="172"/>
      <c r="K224" s="174"/>
      <c r="L224" s="176"/>
      <c r="M224" s="172"/>
      <c r="N224" s="174"/>
      <c r="O224" s="176"/>
      <c r="P224" s="180"/>
      <c r="Q224" s="174"/>
      <c r="R224" s="176"/>
      <c r="S224" s="172"/>
      <c r="T224" s="178"/>
      <c r="U224" s="176"/>
      <c r="V224" s="172"/>
      <c r="W224" s="174"/>
      <c r="X224" s="176"/>
      <c r="Y224" s="172"/>
      <c r="Z224" s="174"/>
      <c r="AA224" s="176"/>
      <c r="AB224" s="172"/>
      <c r="AC224" s="174"/>
      <c r="AD224" s="176"/>
      <c r="AE224" s="172"/>
      <c r="AF224" s="174"/>
      <c r="AG224" s="176"/>
    </row>
    <row r="225" spans="1:33" ht="2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</row>
    <row r="226" spans="1:33" ht="2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190" t="s">
        <v>77</v>
      </c>
      <c r="L226" s="190"/>
      <c r="M226" s="190"/>
      <c r="N226" s="190"/>
      <c r="O226" s="190"/>
      <c r="P226" s="190"/>
      <c r="Q226" s="190"/>
      <c r="R226" s="190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</row>
    <row r="227" spans="1:33" ht="20.25">
      <c r="A227" s="24"/>
      <c r="B227" s="26"/>
      <c r="C227" s="26"/>
      <c r="D227" s="26"/>
      <c r="E227" s="26"/>
      <c r="F227" s="26"/>
      <c r="G227" s="26"/>
      <c r="H227" s="26"/>
      <c r="I227" s="26"/>
      <c r="J227" s="27" t="s">
        <v>50</v>
      </c>
      <c r="K227" s="190"/>
      <c r="L227" s="190"/>
      <c r="M227" s="190"/>
      <c r="N227" s="190"/>
      <c r="O227" s="190"/>
      <c r="P227" s="190"/>
      <c r="Q227" s="190"/>
      <c r="R227" s="190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</row>
    <row r="228" spans="1:33" ht="2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</row>
    <row r="229" spans="1:33" ht="2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66" t="s">
        <v>29</v>
      </c>
      <c r="AG229" s="47">
        <f>AG217+1</f>
        <v>20</v>
      </c>
    </row>
    <row r="230" spans="1:33" ht="24" thickBot="1">
      <c r="A230" s="23" t="s">
        <v>37</v>
      </c>
      <c r="B230" s="23"/>
      <c r="C230" s="23"/>
      <c r="D230" s="23"/>
      <c r="E230" s="23"/>
      <c r="F230" s="60">
        <f>'16_4 kaavio'!G49</f>
        <v>20</v>
      </c>
      <c r="G230" s="23"/>
      <c r="H230" s="23"/>
      <c r="I230" s="23"/>
      <c r="J230" s="23"/>
      <c r="K230" s="23"/>
      <c r="L230" s="23"/>
      <c r="M230" s="23"/>
      <c r="N230" s="23" t="s">
        <v>23</v>
      </c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 t="s">
        <v>23</v>
      </c>
      <c r="AF230" s="23"/>
      <c r="AG230" s="23"/>
    </row>
    <row r="231" spans="5:33" ht="12.75">
      <c r="E231" s="183">
        <f>Pelit!A30</f>
      </c>
      <c r="F231" s="183"/>
      <c r="G231" s="183"/>
      <c r="H231" s="183"/>
      <c r="I231" s="183"/>
      <c r="J231" s="183"/>
      <c r="K231" s="183"/>
      <c r="L231" s="183"/>
      <c r="N231" s="184"/>
      <c r="O231" s="185"/>
      <c r="P231" s="185"/>
      <c r="Q231" s="186"/>
      <c r="V231" s="183">
        <f>Pelit!F30</f>
      </c>
      <c r="W231" s="183"/>
      <c r="X231" s="183"/>
      <c r="Y231" s="183"/>
      <c r="Z231" s="183"/>
      <c r="AA231" s="183"/>
      <c r="AB231" s="183"/>
      <c r="AC231" s="183"/>
      <c r="AE231" s="184"/>
      <c r="AF231" s="185"/>
      <c r="AG231" s="186"/>
    </row>
    <row r="232" spans="1:33" ht="21" thickBot="1">
      <c r="A232" s="182" t="s">
        <v>75</v>
      </c>
      <c r="B232" s="182"/>
      <c r="C232" s="182"/>
      <c r="D232" s="182"/>
      <c r="E232" s="183"/>
      <c r="F232" s="183"/>
      <c r="G232" s="183"/>
      <c r="H232" s="183"/>
      <c r="I232" s="183"/>
      <c r="J232" s="183"/>
      <c r="K232" s="183"/>
      <c r="L232" s="183"/>
      <c r="N232" s="187"/>
      <c r="O232" s="188"/>
      <c r="P232" s="188"/>
      <c r="Q232" s="189"/>
      <c r="R232" s="182" t="s">
        <v>76</v>
      </c>
      <c r="S232" s="182"/>
      <c r="T232" s="182"/>
      <c r="U232" s="182"/>
      <c r="V232" s="183"/>
      <c r="W232" s="183"/>
      <c r="X232" s="183"/>
      <c r="Y232" s="183"/>
      <c r="Z232" s="183"/>
      <c r="AA232" s="183"/>
      <c r="AB232" s="183"/>
      <c r="AC232" s="183"/>
      <c r="AD232" s="24"/>
      <c r="AE232" s="187"/>
      <c r="AF232" s="188"/>
      <c r="AG232" s="189"/>
    </row>
    <row r="233" ht="13.5" thickBot="1"/>
    <row r="234" spans="1:33" ht="24" thickBot="1">
      <c r="A234" s="181" t="s">
        <v>39</v>
      </c>
      <c r="B234" s="181"/>
      <c r="C234" s="181"/>
      <c r="D234" s="181" t="s">
        <v>40</v>
      </c>
      <c r="E234" s="181"/>
      <c r="F234" s="181"/>
      <c r="G234" s="181" t="s">
        <v>41</v>
      </c>
      <c r="H234" s="181"/>
      <c r="I234" s="181"/>
      <c r="J234" s="181" t="s">
        <v>42</v>
      </c>
      <c r="K234" s="181"/>
      <c r="L234" s="181"/>
      <c r="M234" s="181" t="s">
        <v>43</v>
      </c>
      <c r="N234" s="181"/>
      <c r="O234" s="181"/>
      <c r="P234" s="181" t="s">
        <v>44</v>
      </c>
      <c r="Q234" s="181"/>
      <c r="R234" s="181"/>
      <c r="S234" s="181" t="s">
        <v>45</v>
      </c>
      <c r="T234" s="181"/>
      <c r="U234" s="181"/>
      <c r="V234" s="181" t="s">
        <v>46</v>
      </c>
      <c r="W234" s="181"/>
      <c r="X234" s="181"/>
      <c r="Y234" s="181" t="s">
        <v>47</v>
      </c>
      <c r="Z234" s="181"/>
      <c r="AA234" s="181"/>
      <c r="AB234" s="181" t="s">
        <v>48</v>
      </c>
      <c r="AC234" s="181"/>
      <c r="AD234" s="181"/>
      <c r="AE234" s="181" t="s">
        <v>49</v>
      </c>
      <c r="AF234" s="181"/>
      <c r="AG234" s="181"/>
    </row>
    <row r="235" spans="1:33" ht="12.75">
      <c r="A235" s="179"/>
      <c r="B235" s="173" t="s">
        <v>26</v>
      </c>
      <c r="C235" s="175"/>
      <c r="D235" s="171"/>
      <c r="E235" s="177" t="s">
        <v>26</v>
      </c>
      <c r="F235" s="175"/>
      <c r="G235" s="171"/>
      <c r="H235" s="173" t="s">
        <v>26</v>
      </c>
      <c r="I235" s="175"/>
      <c r="J235" s="171"/>
      <c r="K235" s="173" t="s">
        <v>26</v>
      </c>
      <c r="L235" s="175"/>
      <c r="M235" s="171"/>
      <c r="N235" s="173" t="s">
        <v>26</v>
      </c>
      <c r="O235" s="175"/>
      <c r="P235" s="179"/>
      <c r="Q235" s="173" t="s">
        <v>26</v>
      </c>
      <c r="R235" s="175"/>
      <c r="S235" s="171"/>
      <c r="T235" s="177" t="s">
        <v>26</v>
      </c>
      <c r="U235" s="175"/>
      <c r="V235" s="171"/>
      <c r="W235" s="173" t="s">
        <v>26</v>
      </c>
      <c r="X235" s="175"/>
      <c r="Y235" s="171"/>
      <c r="Z235" s="173" t="s">
        <v>26</v>
      </c>
      <c r="AA235" s="175"/>
      <c r="AB235" s="171"/>
      <c r="AC235" s="173" t="s">
        <v>26</v>
      </c>
      <c r="AD235" s="175"/>
      <c r="AE235" s="171"/>
      <c r="AF235" s="173" t="s">
        <v>26</v>
      </c>
      <c r="AG235" s="175"/>
    </row>
    <row r="236" spans="1:33" ht="13.5" thickBot="1">
      <c r="A236" s="180"/>
      <c r="B236" s="174"/>
      <c r="C236" s="176"/>
      <c r="D236" s="172"/>
      <c r="E236" s="178"/>
      <c r="F236" s="176"/>
      <c r="G236" s="172"/>
      <c r="H236" s="174"/>
      <c r="I236" s="176"/>
      <c r="J236" s="172"/>
      <c r="K236" s="174"/>
      <c r="L236" s="176"/>
      <c r="M236" s="172"/>
      <c r="N236" s="174"/>
      <c r="O236" s="176"/>
      <c r="P236" s="180"/>
      <c r="Q236" s="174"/>
      <c r="R236" s="176"/>
      <c r="S236" s="172"/>
      <c r="T236" s="178"/>
      <c r="U236" s="176"/>
      <c r="V236" s="172"/>
      <c r="W236" s="174"/>
      <c r="X236" s="176"/>
      <c r="Y236" s="172"/>
      <c r="Z236" s="174"/>
      <c r="AA236" s="176"/>
      <c r="AB236" s="172"/>
      <c r="AC236" s="174"/>
      <c r="AD236" s="176"/>
      <c r="AE236" s="172"/>
      <c r="AF236" s="174"/>
      <c r="AG236" s="176"/>
    </row>
    <row r="238" spans="11:18" ht="12.75">
      <c r="K238" s="190" t="s">
        <v>77</v>
      </c>
      <c r="L238" s="190"/>
      <c r="M238" s="190"/>
      <c r="N238" s="190"/>
      <c r="O238" s="190"/>
      <c r="P238" s="190"/>
      <c r="Q238" s="190"/>
      <c r="R238" s="190"/>
    </row>
    <row r="239" spans="1:33" ht="20.25">
      <c r="A239" s="24"/>
      <c r="B239" s="24"/>
      <c r="C239" s="24"/>
      <c r="D239" s="24"/>
      <c r="E239" s="24"/>
      <c r="F239" s="24"/>
      <c r="G239" s="24"/>
      <c r="H239" s="24"/>
      <c r="I239" s="24"/>
      <c r="J239" s="27" t="s">
        <v>50</v>
      </c>
      <c r="K239" s="190"/>
      <c r="L239" s="190"/>
      <c r="M239" s="190"/>
      <c r="N239" s="190"/>
      <c r="O239" s="190"/>
      <c r="P239" s="190"/>
      <c r="Q239" s="190"/>
      <c r="R239" s="190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ht="20.25">
      <c r="A240" s="24"/>
    </row>
    <row r="241" spans="32:33" ht="18" customHeight="1">
      <c r="AF241" s="65" t="s">
        <v>56</v>
      </c>
      <c r="AG241" s="47">
        <f>AG229+1</f>
        <v>21</v>
      </c>
    </row>
    <row r="242" spans="1:33" ht="24" thickBot="1">
      <c r="A242" s="23" t="s">
        <v>37</v>
      </c>
      <c r="B242" s="23"/>
      <c r="C242" s="23"/>
      <c r="D242" s="23"/>
      <c r="E242" s="23"/>
      <c r="F242" s="60">
        <f>'16_4 kaavio'!P15</f>
        <v>0</v>
      </c>
      <c r="G242" s="23"/>
      <c r="H242" s="23"/>
      <c r="I242" s="23"/>
      <c r="J242" s="23"/>
      <c r="K242" s="23"/>
      <c r="L242" s="23"/>
      <c r="M242" s="23"/>
      <c r="N242" s="23" t="s">
        <v>23</v>
      </c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 t="s">
        <v>23</v>
      </c>
      <c r="AF242" s="23"/>
      <c r="AG242" s="23"/>
    </row>
    <row r="243" spans="5:33" ht="12.75">
      <c r="E243" s="183">
        <f>Pelit!A33</f>
      </c>
      <c r="F243" s="183"/>
      <c r="G243" s="183"/>
      <c r="H243" s="183"/>
      <c r="I243" s="183"/>
      <c r="J243" s="183"/>
      <c r="K243" s="183"/>
      <c r="L243" s="183"/>
      <c r="N243" s="184"/>
      <c r="O243" s="185"/>
      <c r="P243" s="185"/>
      <c r="Q243" s="186"/>
      <c r="V243" s="183">
        <f>Pelit!F33</f>
      </c>
      <c r="W243" s="183"/>
      <c r="X243" s="183"/>
      <c r="Y243" s="183"/>
      <c r="Z243" s="183"/>
      <c r="AA243" s="183"/>
      <c r="AB243" s="183"/>
      <c r="AC243" s="183"/>
      <c r="AE243" s="184"/>
      <c r="AF243" s="185"/>
      <c r="AG243" s="186"/>
    </row>
    <row r="244" spans="1:33" ht="21" thickBot="1">
      <c r="A244" s="182" t="s">
        <v>75</v>
      </c>
      <c r="B244" s="182"/>
      <c r="C244" s="182"/>
      <c r="D244" s="182"/>
      <c r="E244" s="183"/>
      <c r="F244" s="183"/>
      <c r="G244" s="183"/>
      <c r="H244" s="183"/>
      <c r="I244" s="183"/>
      <c r="J244" s="183"/>
      <c r="K244" s="183"/>
      <c r="L244" s="183"/>
      <c r="N244" s="187"/>
      <c r="O244" s="188"/>
      <c r="P244" s="188"/>
      <c r="Q244" s="189"/>
      <c r="R244" s="182" t="s">
        <v>76</v>
      </c>
      <c r="S244" s="182"/>
      <c r="T244" s="182"/>
      <c r="U244" s="182"/>
      <c r="V244" s="183"/>
      <c r="W244" s="183"/>
      <c r="X244" s="183"/>
      <c r="Y244" s="183"/>
      <c r="Z244" s="183"/>
      <c r="AA244" s="183"/>
      <c r="AB244" s="183"/>
      <c r="AC244" s="183"/>
      <c r="AD244" s="24"/>
      <c r="AE244" s="187"/>
      <c r="AF244" s="188"/>
      <c r="AG244" s="189"/>
    </row>
    <row r="245" ht="13.5" thickBot="1"/>
    <row r="246" spans="1:33" ht="24" thickBot="1">
      <c r="A246" s="181" t="s">
        <v>39</v>
      </c>
      <c r="B246" s="181"/>
      <c r="C246" s="181"/>
      <c r="D246" s="181" t="s">
        <v>40</v>
      </c>
      <c r="E246" s="181"/>
      <c r="F246" s="181"/>
      <c r="G246" s="181" t="s">
        <v>41</v>
      </c>
      <c r="H246" s="181"/>
      <c r="I246" s="181"/>
      <c r="J246" s="181" t="s">
        <v>42</v>
      </c>
      <c r="K246" s="181"/>
      <c r="L246" s="181"/>
      <c r="M246" s="181" t="s">
        <v>43</v>
      </c>
      <c r="N246" s="181"/>
      <c r="O246" s="181"/>
      <c r="P246" s="181" t="s">
        <v>44</v>
      </c>
      <c r="Q246" s="181"/>
      <c r="R246" s="181"/>
      <c r="S246" s="181" t="s">
        <v>45</v>
      </c>
      <c r="T246" s="181"/>
      <c r="U246" s="181"/>
      <c r="V246" s="181" t="s">
        <v>46</v>
      </c>
      <c r="W246" s="181"/>
      <c r="X246" s="181"/>
      <c r="Y246" s="181" t="s">
        <v>47</v>
      </c>
      <c r="Z246" s="181"/>
      <c r="AA246" s="181"/>
      <c r="AB246" s="181" t="s">
        <v>48</v>
      </c>
      <c r="AC246" s="181"/>
      <c r="AD246" s="181"/>
      <c r="AE246" s="181" t="s">
        <v>49</v>
      </c>
      <c r="AF246" s="181"/>
      <c r="AG246" s="181"/>
    </row>
    <row r="247" spans="1:33" ht="12.75">
      <c r="A247" s="179"/>
      <c r="B247" s="173" t="s">
        <v>26</v>
      </c>
      <c r="C247" s="175"/>
      <c r="D247" s="171"/>
      <c r="E247" s="177" t="s">
        <v>26</v>
      </c>
      <c r="F247" s="175"/>
      <c r="G247" s="171"/>
      <c r="H247" s="173" t="s">
        <v>26</v>
      </c>
      <c r="I247" s="175"/>
      <c r="J247" s="171"/>
      <c r="K247" s="173" t="s">
        <v>26</v>
      </c>
      <c r="L247" s="175"/>
      <c r="M247" s="171"/>
      <c r="N247" s="173" t="s">
        <v>26</v>
      </c>
      <c r="O247" s="175"/>
      <c r="P247" s="179"/>
      <c r="Q247" s="173" t="s">
        <v>26</v>
      </c>
      <c r="R247" s="175"/>
      <c r="S247" s="171"/>
      <c r="T247" s="177" t="s">
        <v>26</v>
      </c>
      <c r="U247" s="175"/>
      <c r="V247" s="171"/>
      <c r="W247" s="173" t="s">
        <v>26</v>
      </c>
      <c r="X247" s="175"/>
      <c r="Y247" s="171"/>
      <c r="Z247" s="173" t="s">
        <v>26</v>
      </c>
      <c r="AA247" s="175"/>
      <c r="AB247" s="171"/>
      <c r="AC247" s="173" t="s">
        <v>26</v>
      </c>
      <c r="AD247" s="175"/>
      <c r="AE247" s="171"/>
      <c r="AF247" s="173" t="s">
        <v>26</v>
      </c>
      <c r="AG247" s="175"/>
    </row>
    <row r="248" spans="1:33" ht="13.5" thickBot="1">
      <c r="A248" s="180"/>
      <c r="B248" s="174"/>
      <c r="C248" s="176"/>
      <c r="D248" s="172"/>
      <c r="E248" s="178"/>
      <c r="F248" s="176"/>
      <c r="G248" s="172"/>
      <c r="H248" s="174"/>
      <c r="I248" s="176"/>
      <c r="J248" s="172"/>
      <c r="K248" s="174"/>
      <c r="L248" s="176"/>
      <c r="M248" s="172"/>
      <c r="N248" s="174"/>
      <c r="O248" s="176"/>
      <c r="P248" s="180"/>
      <c r="Q248" s="174"/>
      <c r="R248" s="176"/>
      <c r="S248" s="172"/>
      <c r="T248" s="178"/>
      <c r="U248" s="176"/>
      <c r="V248" s="172"/>
      <c r="W248" s="174"/>
      <c r="X248" s="176"/>
      <c r="Y248" s="172"/>
      <c r="Z248" s="174"/>
      <c r="AA248" s="176"/>
      <c r="AB248" s="172"/>
      <c r="AC248" s="174"/>
      <c r="AD248" s="176"/>
      <c r="AE248" s="172"/>
      <c r="AF248" s="174"/>
      <c r="AG248" s="176"/>
    </row>
    <row r="249" spans="1:33" ht="2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</row>
    <row r="250" spans="1:33" ht="2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</row>
    <row r="251" spans="1:33" ht="20.25">
      <c r="A251" s="24"/>
      <c r="B251" s="26"/>
      <c r="C251" s="26"/>
      <c r="D251" s="26"/>
      <c r="E251" s="26"/>
      <c r="F251" s="26"/>
      <c r="G251" s="26"/>
      <c r="H251" s="26"/>
      <c r="I251" s="26"/>
      <c r="J251" s="27" t="s">
        <v>50</v>
      </c>
      <c r="K251" s="25" t="s">
        <v>51</v>
      </c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</row>
    <row r="252" spans="1:33" ht="2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</row>
    <row r="253" spans="1:33" ht="2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65" t="s">
        <v>56</v>
      </c>
      <c r="AG253" s="47">
        <f>AG241+1</f>
        <v>22</v>
      </c>
    </row>
    <row r="254" spans="1:33" ht="24" thickBot="1">
      <c r="A254" s="23" t="s">
        <v>37</v>
      </c>
      <c r="B254" s="23"/>
      <c r="C254" s="23"/>
      <c r="D254" s="23"/>
      <c r="E254" s="23"/>
      <c r="F254" s="60">
        <v>22</v>
      </c>
      <c r="G254" s="23"/>
      <c r="H254" s="23"/>
      <c r="I254" s="23"/>
      <c r="J254" s="23"/>
      <c r="K254" s="23"/>
      <c r="L254" s="23"/>
      <c r="M254" s="23"/>
      <c r="N254" s="23" t="s">
        <v>23</v>
      </c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 t="s">
        <v>23</v>
      </c>
      <c r="AF254" s="23"/>
      <c r="AG254" s="23"/>
    </row>
    <row r="255" spans="5:33" ht="12.75">
      <c r="E255" s="183">
        <f>Pelit!A34</f>
      </c>
      <c r="F255" s="183"/>
      <c r="G255" s="183"/>
      <c r="H255" s="183"/>
      <c r="I255" s="183"/>
      <c r="J255" s="183"/>
      <c r="K255" s="183"/>
      <c r="L255" s="183"/>
      <c r="N255" s="184"/>
      <c r="O255" s="185"/>
      <c r="P255" s="185"/>
      <c r="Q255" s="186"/>
      <c r="V255" s="183">
        <f>Pelit!F34</f>
      </c>
      <c r="W255" s="183"/>
      <c r="X255" s="183"/>
      <c r="Y255" s="183"/>
      <c r="Z255" s="183"/>
      <c r="AA255" s="183"/>
      <c r="AB255" s="183"/>
      <c r="AC255" s="183"/>
      <c r="AE255" s="184"/>
      <c r="AF255" s="185"/>
      <c r="AG255" s="186"/>
    </row>
    <row r="256" spans="1:33" ht="21" thickBot="1">
      <c r="A256" s="182" t="s">
        <v>75</v>
      </c>
      <c r="B256" s="182"/>
      <c r="C256" s="182"/>
      <c r="D256" s="182"/>
      <c r="E256" s="183"/>
      <c r="F256" s="183"/>
      <c r="G256" s="183"/>
      <c r="H256" s="183"/>
      <c r="I256" s="183"/>
      <c r="J256" s="183"/>
      <c r="K256" s="183"/>
      <c r="L256" s="183"/>
      <c r="N256" s="187"/>
      <c r="O256" s="188"/>
      <c r="P256" s="188"/>
      <c r="Q256" s="189"/>
      <c r="R256" s="182" t="s">
        <v>76</v>
      </c>
      <c r="S256" s="182"/>
      <c r="T256" s="182"/>
      <c r="U256" s="182"/>
      <c r="V256" s="183"/>
      <c r="W256" s="183"/>
      <c r="X256" s="183"/>
      <c r="Y256" s="183"/>
      <c r="Z256" s="183"/>
      <c r="AA256" s="183"/>
      <c r="AB256" s="183"/>
      <c r="AC256" s="183"/>
      <c r="AD256" s="24"/>
      <c r="AE256" s="187"/>
      <c r="AF256" s="188"/>
      <c r="AG256" s="189"/>
    </row>
    <row r="257" ht="13.5" thickBot="1"/>
    <row r="258" spans="1:33" ht="24" thickBot="1">
      <c r="A258" s="181" t="s">
        <v>39</v>
      </c>
      <c r="B258" s="181"/>
      <c r="C258" s="181"/>
      <c r="D258" s="181" t="s">
        <v>40</v>
      </c>
      <c r="E258" s="181"/>
      <c r="F258" s="181"/>
      <c r="G258" s="181" t="s">
        <v>41</v>
      </c>
      <c r="H258" s="181"/>
      <c r="I258" s="181"/>
      <c r="J258" s="181" t="s">
        <v>42</v>
      </c>
      <c r="K258" s="181"/>
      <c r="L258" s="181"/>
      <c r="M258" s="181" t="s">
        <v>43</v>
      </c>
      <c r="N258" s="181"/>
      <c r="O258" s="181"/>
      <c r="P258" s="181" t="s">
        <v>44</v>
      </c>
      <c r="Q258" s="181"/>
      <c r="R258" s="181"/>
      <c r="S258" s="181" t="s">
        <v>45</v>
      </c>
      <c r="T258" s="181"/>
      <c r="U258" s="181"/>
      <c r="V258" s="181" t="s">
        <v>46</v>
      </c>
      <c r="W258" s="181"/>
      <c r="X258" s="181"/>
      <c r="Y258" s="181" t="s">
        <v>47</v>
      </c>
      <c r="Z258" s="181"/>
      <c r="AA258" s="181"/>
      <c r="AB258" s="181" t="s">
        <v>48</v>
      </c>
      <c r="AC258" s="181"/>
      <c r="AD258" s="181"/>
      <c r="AE258" s="181" t="s">
        <v>49</v>
      </c>
      <c r="AF258" s="181"/>
      <c r="AG258" s="181"/>
    </row>
    <row r="259" spans="1:33" ht="12.75">
      <c r="A259" s="179"/>
      <c r="B259" s="173" t="s">
        <v>26</v>
      </c>
      <c r="C259" s="175"/>
      <c r="D259" s="171"/>
      <c r="E259" s="177" t="s">
        <v>26</v>
      </c>
      <c r="F259" s="175"/>
      <c r="G259" s="171"/>
      <c r="H259" s="173" t="s">
        <v>26</v>
      </c>
      <c r="I259" s="175"/>
      <c r="J259" s="171"/>
      <c r="K259" s="173" t="s">
        <v>26</v>
      </c>
      <c r="L259" s="175"/>
      <c r="M259" s="171"/>
      <c r="N259" s="173" t="s">
        <v>26</v>
      </c>
      <c r="O259" s="175"/>
      <c r="P259" s="179"/>
      <c r="Q259" s="173" t="s">
        <v>26</v>
      </c>
      <c r="R259" s="175"/>
      <c r="S259" s="171"/>
      <c r="T259" s="177" t="s">
        <v>26</v>
      </c>
      <c r="U259" s="175"/>
      <c r="V259" s="171"/>
      <c r="W259" s="173" t="s">
        <v>26</v>
      </c>
      <c r="X259" s="175"/>
      <c r="Y259" s="171"/>
      <c r="Z259" s="173" t="s">
        <v>26</v>
      </c>
      <c r="AA259" s="175"/>
      <c r="AB259" s="171"/>
      <c r="AC259" s="173" t="s">
        <v>26</v>
      </c>
      <c r="AD259" s="175"/>
      <c r="AE259" s="171"/>
      <c r="AF259" s="173" t="s">
        <v>26</v>
      </c>
      <c r="AG259" s="175"/>
    </row>
    <row r="260" spans="1:33" ht="13.5" thickBot="1">
      <c r="A260" s="180"/>
      <c r="B260" s="174"/>
      <c r="C260" s="176"/>
      <c r="D260" s="172"/>
      <c r="E260" s="178"/>
      <c r="F260" s="176"/>
      <c r="G260" s="172"/>
      <c r="H260" s="174"/>
      <c r="I260" s="176"/>
      <c r="J260" s="172"/>
      <c r="K260" s="174"/>
      <c r="L260" s="176"/>
      <c r="M260" s="172"/>
      <c r="N260" s="174"/>
      <c r="O260" s="176"/>
      <c r="P260" s="180"/>
      <c r="Q260" s="174"/>
      <c r="R260" s="176"/>
      <c r="S260" s="172"/>
      <c r="T260" s="178"/>
      <c r="U260" s="176"/>
      <c r="V260" s="172"/>
      <c r="W260" s="174"/>
      <c r="X260" s="176"/>
      <c r="Y260" s="172"/>
      <c r="Z260" s="174"/>
      <c r="AA260" s="176"/>
      <c r="AB260" s="172"/>
      <c r="AC260" s="174"/>
      <c r="AD260" s="176"/>
      <c r="AE260" s="172"/>
      <c r="AF260" s="174"/>
      <c r="AG260" s="176"/>
    </row>
    <row r="262" spans="11:18" ht="12.75">
      <c r="K262" s="190" t="s">
        <v>77</v>
      </c>
      <c r="L262" s="190"/>
      <c r="M262" s="190"/>
      <c r="N262" s="190"/>
      <c r="O262" s="190"/>
      <c r="P262" s="190"/>
      <c r="Q262" s="190"/>
      <c r="R262" s="190"/>
    </row>
    <row r="263" spans="1:33" ht="20.25">
      <c r="A263" s="24"/>
      <c r="B263" s="24"/>
      <c r="C263" s="24"/>
      <c r="D263" s="24"/>
      <c r="E263" s="24"/>
      <c r="F263" s="24"/>
      <c r="G263" s="24"/>
      <c r="H263" s="24"/>
      <c r="I263" s="24"/>
      <c r="J263" s="27" t="s">
        <v>50</v>
      </c>
      <c r="K263" s="190"/>
      <c r="L263" s="190"/>
      <c r="M263" s="190"/>
      <c r="N263" s="190"/>
      <c r="O263" s="190"/>
      <c r="P263" s="190"/>
      <c r="Q263" s="190"/>
      <c r="R263" s="190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ht="20.25">
      <c r="A264" s="24"/>
    </row>
    <row r="265" spans="32:33" ht="12.75">
      <c r="AF265" s="66" t="s">
        <v>30</v>
      </c>
      <c r="AG265" s="47">
        <f>AG253+1</f>
        <v>23</v>
      </c>
    </row>
    <row r="266" spans="1:33" ht="24" thickBot="1">
      <c r="A266" s="23" t="s">
        <v>37</v>
      </c>
      <c r="B266" s="23"/>
      <c r="C266" s="23"/>
      <c r="D266" s="23"/>
      <c r="E266" s="23"/>
      <c r="F266" s="60">
        <f>'16_4 kaavio'!E15</f>
        <v>0</v>
      </c>
      <c r="G266" s="23"/>
      <c r="H266" s="23"/>
      <c r="I266" s="23"/>
      <c r="J266" s="23"/>
      <c r="K266" s="23"/>
      <c r="L266" s="23"/>
      <c r="M266" s="23"/>
      <c r="N266" s="23" t="s">
        <v>23</v>
      </c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 t="s">
        <v>23</v>
      </c>
      <c r="AF266" s="23"/>
      <c r="AG266" s="23"/>
    </row>
    <row r="267" spans="5:33" ht="12.75">
      <c r="E267" s="183">
        <f>Pelit!A37</f>
      </c>
      <c r="F267" s="183"/>
      <c r="G267" s="183"/>
      <c r="H267" s="183"/>
      <c r="I267" s="183"/>
      <c r="J267" s="183"/>
      <c r="K267" s="183"/>
      <c r="L267" s="183"/>
      <c r="N267" s="184"/>
      <c r="O267" s="185"/>
      <c r="P267" s="185"/>
      <c r="Q267" s="186"/>
      <c r="V267" s="183">
        <f>Pelit!F37</f>
      </c>
      <c r="W267" s="183"/>
      <c r="X267" s="183"/>
      <c r="Y267" s="183"/>
      <c r="Z267" s="183"/>
      <c r="AA267" s="183"/>
      <c r="AB267" s="183"/>
      <c r="AC267" s="183"/>
      <c r="AE267" s="184"/>
      <c r="AF267" s="185"/>
      <c r="AG267" s="186"/>
    </row>
    <row r="268" spans="1:33" ht="21" thickBot="1">
      <c r="A268" s="182" t="s">
        <v>75</v>
      </c>
      <c r="B268" s="182"/>
      <c r="C268" s="182"/>
      <c r="D268" s="182"/>
      <c r="E268" s="183"/>
      <c r="F268" s="183"/>
      <c r="G268" s="183"/>
      <c r="H268" s="183"/>
      <c r="I268" s="183"/>
      <c r="J268" s="183"/>
      <c r="K268" s="183"/>
      <c r="L268" s="183"/>
      <c r="N268" s="187"/>
      <c r="O268" s="188"/>
      <c r="P268" s="188"/>
      <c r="Q268" s="189"/>
      <c r="R268" s="182" t="s">
        <v>76</v>
      </c>
      <c r="S268" s="182"/>
      <c r="T268" s="182"/>
      <c r="U268" s="182"/>
      <c r="V268" s="183"/>
      <c r="W268" s="183"/>
      <c r="X268" s="183"/>
      <c r="Y268" s="183"/>
      <c r="Z268" s="183"/>
      <c r="AA268" s="183"/>
      <c r="AB268" s="183"/>
      <c r="AC268" s="183"/>
      <c r="AD268" s="24"/>
      <c r="AE268" s="187"/>
      <c r="AF268" s="188"/>
      <c r="AG268" s="189"/>
    </row>
    <row r="269" ht="13.5" thickBot="1"/>
    <row r="270" spans="1:33" ht="24" thickBot="1">
      <c r="A270" s="181" t="s">
        <v>39</v>
      </c>
      <c r="B270" s="181"/>
      <c r="C270" s="181"/>
      <c r="D270" s="181" t="s">
        <v>40</v>
      </c>
      <c r="E270" s="181"/>
      <c r="F270" s="181"/>
      <c r="G270" s="181" t="s">
        <v>41</v>
      </c>
      <c r="H270" s="181"/>
      <c r="I270" s="181"/>
      <c r="J270" s="181" t="s">
        <v>42</v>
      </c>
      <c r="K270" s="181"/>
      <c r="L270" s="181"/>
      <c r="M270" s="181" t="s">
        <v>43</v>
      </c>
      <c r="N270" s="181"/>
      <c r="O270" s="181"/>
      <c r="P270" s="181" t="s">
        <v>44</v>
      </c>
      <c r="Q270" s="181"/>
      <c r="R270" s="181"/>
      <c r="S270" s="181" t="s">
        <v>45</v>
      </c>
      <c r="T270" s="181"/>
      <c r="U270" s="181"/>
      <c r="V270" s="181" t="s">
        <v>46</v>
      </c>
      <c r="W270" s="181"/>
      <c r="X270" s="181"/>
      <c r="Y270" s="181" t="s">
        <v>47</v>
      </c>
      <c r="Z270" s="181"/>
      <c r="AA270" s="181"/>
      <c r="AB270" s="181" t="s">
        <v>48</v>
      </c>
      <c r="AC270" s="181"/>
      <c r="AD270" s="181"/>
      <c r="AE270" s="181" t="s">
        <v>49</v>
      </c>
      <c r="AF270" s="181"/>
      <c r="AG270" s="181"/>
    </row>
    <row r="271" spans="1:33" ht="12.75">
      <c r="A271" s="179"/>
      <c r="B271" s="173" t="s">
        <v>26</v>
      </c>
      <c r="C271" s="175"/>
      <c r="D271" s="171"/>
      <c r="E271" s="177" t="s">
        <v>26</v>
      </c>
      <c r="F271" s="175"/>
      <c r="G271" s="171"/>
      <c r="H271" s="173" t="s">
        <v>26</v>
      </c>
      <c r="I271" s="175"/>
      <c r="J271" s="171"/>
      <c r="K271" s="173" t="s">
        <v>26</v>
      </c>
      <c r="L271" s="175"/>
      <c r="M271" s="171"/>
      <c r="N271" s="173" t="s">
        <v>26</v>
      </c>
      <c r="O271" s="175"/>
      <c r="P271" s="179"/>
      <c r="Q271" s="173" t="s">
        <v>26</v>
      </c>
      <c r="R271" s="175"/>
      <c r="S271" s="171"/>
      <c r="T271" s="177" t="s">
        <v>26</v>
      </c>
      <c r="U271" s="175"/>
      <c r="V271" s="171"/>
      <c r="W271" s="173" t="s">
        <v>26</v>
      </c>
      <c r="X271" s="175"/>
      <c r="Y271" s="171"/>
      <c r="Z271" s="173" t="s">
        <v>26</v>
      </c>
      <c r="AA271" s="175"/>
      <c r="AB271" s="171"/>
      <c r="AC271" s="173" t="s">
        <v>26</v>
      </c>
      <c r="AD271" s="175"/>
      <c r="AE271" s="171"/>
      <c r="AF271" s="173" t="s">
        <v>26</v>
      </c>
      <c r="AG271" s="175"/>
    </row>
    <row r="272" spans="1:33" ht="13.5" thickBot="1">
      <c r="A272" s="180"/>
      <c r="B272" s="174"/>
      <c r="C272" s="176"/>
      <c r="D272" s="172"/>
      <c r="E272" s="178"/>
      <c r="F272" s="176"/>
      <c r="G272" s="172"/>
      <c r="H272" s="174"/>
      <c r="I272" s="176"/>
      <c r="J272" s="172"/>
      <c r="K272" s="174"/>
      <c r="L272" s="176"/>
      <c r="M272" s="172"/>
      <c r="N272" s="174"/>
      <c r="O272" s="176"/>
      <c r="P272" s="180"/>
      <c r="Q272" s="174"/>
      <c r="R272" s="176"/>
      <c r="S272" s="172"/>
      <c r="T272" s="178"/>
      <c r="U272" s="176"/>
      <c r="V272" s="172"/>
      <c r="W272" s="174"/>
      <c r="X272" s="176"/>
      <c r="Y272" s="172"/>
      <c r="Z272" s="174"/>
      <c r="AA272" s="176"/>
      <c r="AB272" s="172"/>
      <c r="AC272" s="174"/>
      <c r="AD272" s="176"/>
      <c r="AE272" s="172"/>
      <c r="AF272" s="174"/>
      <c r="AG272" s="176"/>
    </row>
    <row r="273" spans="1:33" ht="2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</row>
    <row r="274" spans="1:33" ht="2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190" t="s">
        <v>77</v>
      </c>
      <c r="L274" s="190"/>
      <c r="M274" s="190"/>
      <c r="N274" s="190"/>
      <c r="O274" s="190"/>
      <c r="P274" s="190"/>
      <c r="Q274" s="190"/>
      <c r="R274" s="190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</row>
    <row r="275" spans="1:33" ht="20.25">
      <c r="A275" s="24"/>
      <c r="B275" s="26"/>
      <c r="C275" s="26"/>
      <c r="D275" s="26"/>
      <c r="E275" s="26"/>
      <c r="F275" s="26"/>
      <c r="G275" s="26"/>
      <c r="H275" s="26"/>
      <c r="I275" s="26"/>
      <c r="J275" s="27" t="s">
        <v>50</v>
      </c>
      <c r="K275" s="190"/>
      <c r="L275" s="190"/>
      <c r="M275" s="190"/>
      <c r="N275" s="190"/>
      <c r="O275" s="190"/>
      <c r="P275" s="190"/>
      <c r="Q275" s="190"/>
      <c r="R275" s="190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</row>
    <row r="276" spans="1:33" ht="2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</row>
    <row r="277" spans="1:33" ht="2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66" t="s">
        <v>30</v>
      </c>
      <c r="AG277" s="47">
        <f>AG265+1</f>
        <v>24</v>
      </c>
    </row>
    <row r="278" spans="1:33" ht="24" thickBot="1">
      <c r="A278" s="23" t="s">
        <v>37</v>
      </c>
      <c r="B278" s="23"/>
      <c r="C278" s="23"/>
      <c r="D278" s="23"/>
      <c r="E278" s="23"/>
      <c r="F278" s="60">
        <f>'16_4 kaavio'!E43</f>
        <v>0</v>
      </c>
      <c r="G278" s="23"/>
      <c r="H278" s="23"/>
      <c r="I278" s="23"/>
      <c r="J278" s="23"/>
      <c r="K278" s="23"/>
      <c r="L278" s="23"/>
      <c r="M278" s="23"/>
      <c r="N278" s="23" t="s">
        <v>23</v>
      </c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 t="s">
        <v>23</v>
      </c>
      <c r="AF278" s="23"/>
      <c r="AG278" s="23"/>
    </row>
    <row r="279" spans="5:33" ht="12.75">
      <c r="E279" s="183">
        <f>Pelit!A38</f>
      </c>
      <c r="F279" s="183"/>
      <c r="G279" s="183"/>
      <c r="H279" s="183"/>
      <c r="I279" s="183"/>
      <c r="J279" s="183"/>
      <c r="K279" s="183"/>
      <c r="L279" s="183"/>
      <c r="N279" s="184"/>
      <c r="O279" s="185"/>
      <c r="P279" s="185"/>
      <c r="Q279" s="186"/>
      <c r="V279" s="183">
        <f>Pelit!F38</f>
      </c>
      <c r="W279" s="183"/>
      <c r="X279" s="183"/>
      <c r="Y279" s="183"/>
      <c r="Z279" s="183"/>
      <c r="AA279" s="183"/>
      <c r="AB279" s="183"/>
      <c r="AC279" s="183"/>
      <c r="AE279" s="184"/>
      <c r="AF279" s="185"/>
      <c r="AG279" s="186"/>
    </row>
    <row r="280" spans="1:33" ht="21" thickBot="1">
      <c r="A280" s="182" t="s">
        <v>75</v>
      </c>
      <c r="B280" s="182"/>
      <c r="C280" s="182"/>
      <c r="D280" s="182"/>
      <c r="E280" s="183"/>
      <c r="F280" s="183"/>
      <c r="G280" s="183"/>
      <c r="H280" s="183"/>
      <c r="I280" s="183"/>
      <c r="J280" s="183"/>
      <c r="K280" s="183"/>
      <c r="L280" s="183"/>
      <c r="N280" s="187"/>
      <c r="O280" s="188"/>
      <c r="P280" s="188"/>
      <c r="Q280" s="189"/>
      <c r="R280" s="182" t="s">
        <v>76</v>
      </c>
      <c r="S280" s="182"/>
      <c r="T280" s="182"/>
      <c r="U280" s="182"/>
      <c r="V280" s="183"/>
      <c r="W280" s="183"/>
      <c r="X280" s="183"/>
      <c r="Y280" s="183"/>
      <c r="Z280" s="183"/>
      <c r="AA280" s="183"/>
      <c r="AB280" s="183"/>
      <c r="AC280" s="183"/>
      <c r="AD280" s="24"/>
      <c r="AE280" s="187"/>
      <c r="AF280" s="188"/>
      <c r="AG280" s="189"/>
    </row>
    <row r="281" ht="13.5" thickBot="1"/>
    <row r="282" spans="1:33" ht="24" thickBot="1">
      <c r="A282" s="181" t="s">
        <v>39</v>
      </c>
      <c r="B282" s="181"/>
      <c r="C282" s="181"/>
      <c r="D282" s="181" t="s">
        <v>40</v>
      </c>
      <c r="E282" s="181"/>
      <c r="F282" s="181"/>
      <c r="G282" s="181" t="s">
        <v>41</v>
      </c>
      <c r="H282" s="181"/>
      <c r="I282" s="181"/>
      <c r="J282" s="181" t="s">
        <v>42</v>
      </c>
      <c r="K282" s="181"/>
      <c r="L282" s="181"/>
      <c r="M282" s="181" t="s">
        <v>43</v>
      </c>
      <c r="N282" s="181"/>
      <c r="O282" s="181"/>
      <c r="P282" s="181" t="s">
        <v>44</v>
      </c>
      <c r="Q282" s="181"/>
      <c r="R282" s="181"/>
      <c r="S282" s="181" t="s">
        <v>45</v>
      </c>
      <c r="T282" s="181"/>
      <c r="U282" s="181"/>
      <c r="V282" s="181" t="s">
        <v>46</v>
      </c>
      <c r="W282" s="181"/>
      <c r="X282" s="181"/>
      <c r="Y282" s="181" t="s">
        <v>47</v>
      </c>
      <c r="Z282" s="181"/>
      <c r="AA282" s="181"/>
      <c r="AB282" s="181" t="s">
        <v>48</v>
      </c>
      <c r="AC282" s="181"/>
      <c r="AD282" s="181"/>
      <c r="AE282" s="181" t="s">
        <v>49</v>
      </c>
      <c r="AF282" s="181"/>
      <c r="AG282" s="181"/>
    </row>
    <row r="283" spans="1:33" ht="12.75">
      <c r="A283" s="179"/>
      <c r="B283" s="173" t="s">
        <v>26</v>
      </c>
      <c r="C283" s="175"/>
      <c r="D283" s="171"/>
      <c r="E283" s="177" t="s">
        <v>26</v>
      </c>
      <c r="F283" s="175"/>
      <c r="G283" s="171"/>
      <c r="H283" s="173" t="s">
        <v>26</v>
      </c>
      <c r="I283" s="175"/>
      <c r="J283" s="171"/>
      <c r="K283" s="173" t="s">
        <v>26</v>
      </c>
      <c r="L283" s="175"/>
      <c r="M283" s="171"/>
      <c r="N283" s="173" t="s">
        <v>26</v>
      </c>
      <c r="O283" s="175"/>
      <c r="P283" s="179"/>
      <c r="Q283" s="173" t="s">
        <v>26</v>
      </c>
      <c r="R283" s="175"/>
      <c r="S283" s="171"/>
      <c r="T283" s="177" t="s">
        <v>26</v>
      </c>
      <c r="U283" s="175"/>
      <c r="V283" s="171"/>
      <c r="W283" s="173" t="s">
        <v>26</v>
      </c>
      <c r="X283" s="175"/>
      <c r="Y283" s="171"/>
      <c r="Z283" s="173" t="s">
        <v>26</v>
      </c>
      <c r="AA283" s="175"/>
      <c r="AB283" s="171"/>
      <c r="AC283" s="173" t="s">
        <v>26</v>
      </c>
      <c r="AD283" s="175"/>
      <c r="AE283" s="171"/>
      <c r="AF283" s="173" t="s">
        <v>26</v>
      </c>
      <c r="AG283" s="175"/>
    </row>
    <row r="284" spans="1:33" ht="13.5" thickBot="1">
      <c r="A284" s="180"/>
      <c r="B284" s="174"/>
      <c r="C284" s="176"/>
      <c r="D284" s="172"/>
      <c r="E284" s="178"/>
      <c r="F284" s="176"/>
      <c r="G284" s="172"/>
      <c r="H284" s="174"/>
      <c r="I284" s="176"/>
      <c r="J284" s="172"/>
      <c r="K284" s="174"/>
      <c r="L284" s="176"/>
      <c r="M284" s="172"/>
      <c r="N284" s="174"/>
      <c r="O284" s="176"/>
      <c r="P284" s="180"/>
      <c r="Q284" s="174"/>
      <c r="R284" s="176"/>
      <c r="S284" s="172"/>
      <c r="T284" s="178"/>
      <c r="U284" s="176"/>
      <c r="V284" s="172"/>
      <c r="W284" s="174"/>
      <c r="X284" s="176"/>
      <c r="Y284" s="172"/>
      <c r="Z284" s="174"/>
      <c r="AA284" s="176"/>
      <c r="AB284" s="172"/>
      <c r="AC284" s="174"/>
      <c r="AD284" s="176"/>
      <c r="AE284" s="172"/>
      <c r="AF284" s="174"/>
      <c r="AG284" s="176"/>
    </row>
    <row r="286" spans="11:18" ht="12.75">
      <c r="K286" s="190" t="s">
        <v>77</v>
      </c>
      <c r="L286" s="190"/>
      <c r="M286" s="190"/>
      <c r="N286" s="190"/>
      <c r="O286" s="190"/>
      <c r="P286" s="190"/>
      <c r="Q286" s="190"/>
      <c r="R286" s="190"/>
    </row>
    <row r="287" spans="1:33" ht="20.25">
      <c r="A287" s="24"/>
      <c r="B287" s="24"/>
      <c r="C287" s="24"/>
      <c r="D287" s="24"/>
      <c r="E287" s="24"/>
      <c r="F287" s="24"/>
      <c r="G287" s="24"/>
      <c r="H287" s="24"/>
      <c r="I287" s="24"/>
      <c r="J287" s="27" t="s">
        <v>50</v>
      </c>
      <c r="K287" s="190"/>
      <c r="L287" s="190"/>
      <c r="M287" s="190"/>
      <c r="N287" s="190"/>
      <c r="O287" s="190"/>
      <c r="P287" s="190"/>
      <c r="Q287" s="190"/>
      <c r="R287" s="190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ht="20.25">
      <c r="A288" s="24"/>
    </row>
    <row r="289" spans="32:33" ht="12.75">
      <c r="AF289" s="66" t="s">
        <v>57</v>
      </c>
      <c r="AG289" s="47">
        <f>AG277+1</f>
        <v>25</v>
      </c>
    </row>
    <row r="290" spans="1:33" ht="24" thickBot="1">
      <c r="A290" s="23" t="s">
        <v>37</v>
      </c>
      <c r="B290" s="23"/>
      <c r="C290" s="23"/>
      <c r="D290" s="23"/>
      <c r="E290" s="23"/>
      <c r="F290" s="60">
        <f>'16_4 kaavio'!C15</f>
        <v>0</v>
      </c>
      <c r="G290" s="23"/>
      <c r="H290" s="23"/>
      <c r="I290" s="23"/>
      <c r="J290" s="23"/>
      <c r="K290" s="23"/>
      <c r="L290" s="23"/>
      <c r="M290" s="23"/>
      <c r="N290" s="23" t="s">
        <v>23</v>
      </c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 t="s">
        <v>23</v>
      </c>
      <c r="AF290" s="23"/>
      <c r="AG290" s="23"/>
    </row>
    <row r="291" spans="5:33" ht="12.75">
      <c r="E291" s="183">
        <f>Pelit!A41</f>
      </c>
      <c r="F291" s="183"/>
      <c r="G291" s="183"/>
      <c r="H291" s="183"/>
      <c r="I291" s="183"/>
      <c r="J291" s="183"/>
      <c r="K291" s="183"/>
      <c r="L291" s="183"/>
      <c r="N291" s="184"/>
      <c r="O291" s="185"/>
      <c r="P291" s="185"/>
      <c r="Q291" s="186"/>
      <c r="V291" s="183">
        <f>Pelit!F41</f>
      </c>
      <c r="W291" s="183"/>
      <c r="X291" s="183"/>
      <c r="Y291" s="183"/>
      <c r="Z291" s="183"/>
      <c r="AA291" s="183"/>
      <c r="AB291" s="183"/>
      <c r="AC291" s="183"/>
      <c r="AE291" s="184"/>
      <c r="AF291" s="185"/>
      <c r="AG291" s="186"/>
    </row>
    <row r="292" spans="1:33" ht="21" thickBot="1">
      <c r="A292" s="182" t="s">
        <v>75</v>
      </c>
      <c r="B292" s="182"/>
      <c r="C292" s="182"/>
      <c r="D292" s="182"/>
      <c r="E292" s="183"/>
      <c r="F292" s="183"/>
      <c r="G292" s="183"/>
      <c r="H292" s="183"/>
      <c r="I292" s="183"/>
      <c r="J292" s="183"/>
      <c r="K292" s="183"/>
      <c r="L292" s="183"/>
      <c r="N292" s="187"/>
      <c r="O292" s="188"/>
      <c r="P292" s="188"/>
      <c r="Q292" s="189"/>
      <c r="R292" s="182" t="s">
        <v>76</v>
      </c>
      <c r="S292" s="182"/>
      <c r="T292" s="182"/>
      <c r="U292" s="182"/>
      <c r="V292" s="183"/>
      <c r="W292" s="183"/>
      <c r="X292" s="183"/>
      <c r="Y292" s="183"/>
      <c r="Z292" s="183"/>
      <c r="AA292" s="183"/>
      <c r="AB292" s="183"/>
      <c r="AC292" s="183"/>
      <c r="AD292" s="24"/>
      <c r="AE292" s="187"/>
      <c r="AF292" s="188"/>
      <c r="AG292" s="189"/>
    </row>
    <row r="293" ht="13.5" thickBot="1"/>
    <row r="294" spans="1:33" ht="24" thickBot="1">
      <c r="A294" s="181" t="s">
        <v>39</v>
      </c>
      <c r="B294" s="181"/>
      <c r="C294" s="181"/>
      <c r="D294" s="181" t="s">
        <v>40</v>
      </c>
      <c r="E294" s="181"/>
      <c r="F294" s="181"/>
      <c r="G294" s="181" t="s">
        <v>41</v>
      </c>
      <c r="H294" s="181"/>
      <c r="I294" s="181"/>
      <c r="J294" s="181" t="s">
        <v>42</v>
      </c>
      <c r="K294" s="181"/>
      <c r="L294" s="181"/>
      <c r="M294" s="181" t="s">
        <v>43</v>
      </c>
      <c r="N294" s="181"/>
      <c r="O294" s="181"/>
      <c r="P294" s="181" t="s">
        <v>44</v>
      </c>
      <c r="Q294" s="181"/>
      <c r="R294" s="181"/>
      <c r="S294" s="181" t="s">
        <v>45</v>
      </c>
      <c r="T294" s="181"/>
      <c r="U294" s="181"/>
      <c r="V294" s="181" t="s">
        <v>46</v>
      </c>
      <c r="W294" s="181"/>
      <c r="X294" s="181"/>
      <c r="Y294" s="181" t="s">
        <v>47</v>
      </c>
      <c r="Z294" s="181"/>
      <c r="AA294" s="181"/>
      <c r="AB294" s="181" t="s">
        <v>48</v>
      </c>
      <c r="AC294" s="181"/>
      <c r="AD294" s="181"/>
      <c r="AE294" s="181" t="s">
        <v>49</v>
      </c>
      <c r="AF294" s="181"/>
      <c r="AG294" s="181"/>
    </row>
    <row r="295" spans="1:33" ht="12.75">
      <c r="A295" s="179"/>
      <c r="B295" s="173" t="s">
        <v>26</v>
      </c>
      <c r="C295" s="175"/>
      <c r="D295" s="171"/>
      <c r="E295" s="177" t="s">
        <v>26</v>
      </c>
      <c r="F295" s="175"/>
      <c r="G295" s="171"/>
      <c r="H295" s="173" t="s">
        <v>26</v>
      </c>
      <c r="I295" s="175"/>
      <c r="J295" s="171"/>
      <c r="K295" s="173" t="s">
        <v>26</v>
      </c>
      <c r="L295" s="175"/>
      <c r="M295" s="171"/>
      <c r="N295" s="173" t="s">
        <v>26</v>
      </c>
      <c r="O295" s="175"/>
      <c r="P295" s="179"/>
      <c r="Q295" s="173" t="s">
        <v>26</v>
      </c>
      <c r="R295" s="175"/>
      <c r="S295" s="171"/>
      <c r="T295" s="177" t="s">
        <v>26</v>
      </c>
      <c r="U295" s="175"/>
      <c r="V295" s="171"/>
      <c r="W295" s="173" t="s">
        <v>26</v>
      </c>
      <c r="X295" s="175"/>
      <c r="Y295" s="171"/>
      <c r="Z295" s="173" t="s">
        <v>26</v>
      </c>
      <c r="AA295" s="175"/>
      <c r="AB295" s="171"/>
      <c r="AC295" s="173" t="s">
        <v>26</v>
      </c>
      <c r="AD295" s="175"/>
      <c r="AE295" s="171"/>
      <c r="AF295" s="173" t="s">
        <v>26</v>
      </c>
      <c r="AG295" s="175"/>
    </row>
    <row r="296" spans="1:33" ht="13.5" thickBot="1">
      <c r="A296" s="180"/>
      <c r="B296" s="174"/>
      <c r="C296" s="176"/>
      <c r="D296" s="172"/>
      <c r="E296" s="178"/>
      <c r="F296" s="176"/>
      <c r="G296" s="172"/>
      <c r="H296" s="174"/>
      <c r="I296" s="176"/>
      <c r="J296" s="172"/>
      <c r="K296" s="174"/>
      <c r="L296" s="176"/>
      <c r="M296" s="172"/>
      <c r="N296" s="174"/>
      <c r="O296" s="176"/>
      <c r="P296" s="180"/>
      <c r="Q296" s="174"/>
      <c r="R296" s="176"/>
      <c r="S296" s="172"/>
      <c r="T296" s="178"/>
      <c r="U296" s="176"/>
      <c r="V296" s="172"/>
      <c r="W296" s="174"/>
      <c r="X296" s="176"/>
      <c r="Y296" s="172"/>
      <c r="Z296" s="174"/>
      <c r="AA296" s="176"/>
      <c r="AB296" s="172"/>
      <c r="AC296" s="174"/>
      <c r="AD296" s="176"/>
      <c r="AE296" s="172"/>
      <c r="AF296" s="174"/>
      <c r="AG296" s="176"/>
    </row>
    <row r="297" spans="1:33" ht="2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</row>
    <row r="298" spans="1:33" ht="2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190" t="s">
        <v>77</v>
      </c>
      <c r="L298" s="190"/>
      <c r="M298" s="190"/>
      <c r="N298" s="190"/>
      <c r="O298" s="190"/>
      <c r="P298" s="190"/>
      <c r="Q298" s="190"/>
      <c r="R298" s="190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1:33" ht="20.25">
      <c r="A299" s="24"/>
      <c r="B299" s="26"/>
      <c r="C299" s="26"/>
      <c r="D299" s="26"/>
      <c r="E299" s="26"/>
      <c r="F299" s="26"/>
      <c r="G299" s="26"/>
      <c r="H299" s="26"/>
      <c r="I299" s="26"/>
      <c r="J299" s="27" t="s">
        <v>50</v>
      </c>
      <c r="K299" s="190"/>
      <c r="L299" s="190"/>
      <c r="M299" s="190"/>
      <c r="N299" s="190"/>
      <c r="O299" s="190"/>
      <c r="P299" s="190"/>
      <c r="Q299" s="190"/>
      <c r="R299" s="190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</row>
    <row r="300" spans="1:33" ht="2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</row>
    <row r="301" spans="1:33" ht="2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66" t="s">
        <v>57</v>
      </c>
      <c r="AG301" s="47">
        <f>AG289+1</f>
        <v>26</v>
      </c>
    </row>
    <row r="302" spans="1:33" ht="24" thickBot="1">
      <c r="A302" s="23" t="s">
        <v>37</v>
      </c>
      <c r="B302" s="23"/>
      <c r="C302" s="23"/>
      <c r="D302" s="23"/>
      <c r="E302" s="23"/>
      <c r="F302" s="60">
        <f>'16_4 kaavio'!C43</f>
        <v>0</v>
      </c>
      <c r="G302" s="23"/>
      <c r="H302" s="23"/>
      <c r="I302" s="23"/>
      <c r="J302" s="23"/>
      <c r="K302" s="23"/>
      <c r="L302" s="23"/>
      <c r="M302" s="23"/>
      <c r="N302" s="23" t="s">
        <v>23</v>
      </c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 t="s">
        <v>23</v>
      </c>
      <c r="AF302" s="23"/>
      <c r="AG302" s="23"/>
    </row>
    <row r="303" spans="5:33" ht="12.75">
      <c r="E303" s="183">
        <f>Pelit!A42</f>
      </c>
      <c r="F303" s="183"/>
      <c r="G303" s="183"/>
      <c r="H303" s="183"/>
      <c r="I303" s="183"/>
      <c r="J303" s="183"/>
      <c r="K303" s="183"/>
      <c r="L303" s="183"/>
      <c r="N303" s="184"/>
      <c r="O303" s="185"/>
      <c r="P303" s="185"/>
      <c r="Q303" s="186"/>
      <c r="V303" s="183">
        <f>Pelit!F42</f>
      </c>
      <c r="W303" s="183"/>
      <c r="X303" s="183"/>
      <c r="Y303" s="183"/>
      <c r="Z303" s="183"/>
      <c r="AA303" s="183"/>
      <c r="AB303" s="183"/>
      <c r="AC303" s="183"/>
      <c r="AE303" s="184"/>
      <c r="AF303" s="185"/>
      <c r="AG303" s="186"/>
    </row>
    <row r="304" spans="1:33" ht="21" thickBot="1">
      <c r="A304" s="182" t="s">
        <v>75</v>
      </c>
      <c r="B304" s="182"/>
      <c r="C304" s="182"/>
      <c r="D304" s="182"/>
      <c r="E304" s="183"/>
      <c r="F304" s="183"/>
      <c r="G304" s="183"/>
      <c r="H304" s="183"/>
      <c r="I304" s="183"/>
      <c r="J304" s="183"/>
      <c r="K304" s="183"/>
      <c r="L304" s="183"/>
      <c r="N304" s="187"/>
      <c r="O304" s="188"/>
      <c r="P304" s="188"/>
      <c r="Q304" s="189"/>
      <c r="R304" s="182" t="s">
        <v>76</v>
      </c>
      <c r="S304" s="182"/>
      <c r="T304" s="182"/>
      <c r="U304" s="182"/>
      <c r="V304" s="183"/>
      <c r="W304" s="183"/>
      <c r="X304" s="183"/>
      <c r="Y304" s="183"/>
      <c r="Z304" s="183"/>
      <c r="AA304" s="183"/>
      <c r="AB304" s="183"/>
      <c r="AC304" s="183"/>
      <c r="AD304" s="24"/>
      <c r="AE304" s="187"/>
      <c r="AF304" s="188"/>
      <c r="AG304" s="189"/>
    </row>
    <row r="305" ht="13.5" thickBot="1"/>
    <row r="306" spans="1:33" ht="24" thickBot="1">
      <c r="A306" s="181" t="s">
        <v>39</v>
      </c>
      <c r="B306" s="181"/>
      <c r="C306" s="181"/>
      <c r="D306" s="181" t="s">
        <v>40</v>
      </c>
      <c r="E306" s="181"/>
      <c r="F306" s="181"/>
      <c r="G306" s="181" t="s">
        <v>41</v>
      </c>
      <c r="H306" s="181"/>
      <c r="I306" s="181"/>
      <c r="J306" s="181" t="s">
        <v>42</v>
      </c>
      <c r="K306" s="181"/>
      <c r="L306" s="181"/>
      <c r="M306" s="181" t="s">
        <v>43</v>
      </c>
      <c r="N306" s="181"/>
      <c r="O306" s="181"/>
      <c r="P306" s="181" t="s">
        <v>44</v>
      </c>
      <c r="Q306" s="181"/>
      <c r="R306" s="181"/>
      <c r="S306" s="181" t="s">
        <v>45</v>
      </c>
      <c r="T306" s="181"/>
      <c r="U306" s="181"/>
      <c r="V306" s="181" t="s">
        <v>46</v>
      </c>
      <c r="W306" s="181"/>
      <c r="X306" s="181"/>
      <c r="Y306" s="181" t="s">
        <v>47</v>
      </c>
      <c r="Z306" s="181"/>
      <c r="AA306" s="181"/>
      <c r="AB306" s="181" t="s">
        <v>48</v>
      </c>
      <c r="AC306" s="181"/>
      <c r="AD306" s="181"/>
      <c r="AE306" s="181" t="s">
        <v>49</v>
      </c>
      <c r="AF306" s="181"/>
      <c r="AG306" s="181"/>
    </row>
    <row r="307" spans="1:33" ht="12.75">
      <c r="A307" s="179"/>
      <c r="B307" s="173" t="s">
        <v>26</v>
      </c>
      <c r="C307" s="175"/>
      <c r="D307" s="171"/>
      <c r="E307" s="177" t="s">
        <v>26</v>
      </c>
      <c r="F307" s="175"/>
      <c r="G307" s="171"/>
      <c r="H307" s="173" t="s">
        <v>26</v>
      </c>
      <c r="I307" s="175"/>
      <c r="J307" s="171"/>
      <c r="K307" s="173" t="s">
        <v>26</v>
      </c>
      <c r="L307" s="175"/>
      <c r="M307" s="171"/>
      <c r="N307" s="173" t="s">
        <v>26</v>
      </c>
      <c r="O307" s="175"/>
      <c r="P307" s="179"/>
      <c r="Q307" s="173" t="s">
        <v>26</v>
      </c>
      <c r="R307" s="175"/>
      <c r="S307" s="171"/>
      <c r="T307" s="177" t="s">
        <v>26</v>
      </c>
      <c r="U307" s="175"/>
      <c r="V307" s="171"/>
      <c r="W307" s="173" t="s">
        <v>26</v>
      </c>
      <c r="X307" s="175"/>
      <c r="Y307" s="171"/>
      <c r="Z307" s="173" t="s">
        <v>26</v>
      </c>
      <c r="AA307" s="175"/>
      <c r="AB307" s="171"/>
      <c r="AC307" s="173" t="s">
        <v>26</v>
      </c>
      <c r="AD307" s="175"/>
      <c r="AE307" s="171"/>
      <c r="AF307" s="173" t="s">
        <v>26</v>
      </c>
      <c r="AG307" s="175"/>
    </row>
    <row r="308" spans="1:33" ht="13.5" thickBot="1">
      <c r="A308" s="180"/>
      <c r="B308" s="174"/>
      <c r="C308" s="176"/>
      <c r="D308" s="172"/>
      <c r="E308" s="178"/>
      <c r="F308" s="176"/>
      <c r="G308" s="172"/>
      <c r="H308" s="174"/>
      <c r="I308" s="176"/>
      <c r="J308" s="172"/>
      <c r="K308" s="174"/>
      <c r="L308" s="176"/>
      <c r="M308" s="172"/>
      <c r="N308" s="174"/>
      <c r="O308" s="176"/>
      <c r="P308" s="180"/>
      <c r="Q308" s="174"/>
      <c r="R308" s="176"/>
      <c r="S308" s="172"/>
      <c r="T308" s="178"/>
      <c r="U308" s="176"/>
      <c r="V308" s="172"/>
      <c r="W308" s="174"/>
      <c r="X308" s="176"/>
      <c r="Y308" s="172"/>
      <c r="Z308" s="174"/>
      <c r="AA308" s="176"/>
      <c r="AB308" s="172"/>
      <c r="AC308" s="174"/>
      <c r="AD308" s="176"/>
      <c r="AE308" s="172"/>
      <c r="AF308" s="174"/>
      <c r="AG308" s="176"/>
    </row>
    <row r="310" spans="11:18" ht="12.75">
      <c r="K310" s="190" t="s">
        <v>77</v>
      </c>
      <c r="L310" s="190"/>
      <c r="M310" s="190"/>
      <c r="N310" s="190"/>
      <c r="O310" s="190"/>
      <c r="P310" s="190"/>
      <c r="Q310" s="190"/>
      <c r="R310" s="190"/>
    </row>
    <row r="311" spans="1:33" ht="20.25">
      <c r="A311" s="24"/>
      <c r="B311" s="24"/>
      <c r="C311" s="24"/>
      <c r="D311" s="24"/>
      <c r="E311" s="24"/>
      <c r="F311" s="24"/>
      <c r="G311" s="24"/>
      <c r="H311" s="24"/>
      <c r="I311" s="24"/>
      <c r="J311" s="27" t="s">
        <v>50</v>
      </c>
      <c r="K311" s="190"/>
      <c r="L311" s="190"/>
      <c r="M311" s="190"/>
      <c r="N311" s="190"/>
      <c r="O311" s="190"/>
      <c r="P311" s="190"/>
      <c r="Q311" s="190"/>
      <c r="R311" s="190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ht="20.25">
      <c r="A312" s="24"/>
    </row>
    <row r="313" spans="32:33" ht="12.75">
      <c r="AF313" s="65" t="s">
        <v>21</v>
      </c>
      <c r="AG313" s="47">
        <f>AG301+1</f>
        <v>27</v>
      </c>
    </row>
    <row r="314" spans="1:33" ht="24" thickBot="1">
      <c r="A314" s="23" t="s">
        <v>37</v>
      </c>
      <c r="B314" s="23"/>
      <c r="C314" s="23"/>
      <c r="D314" s="23"/>
      <c r="E314" s="23"/>
      <c r="F314" s="60">
        <f>'16_4 kaavio'!E28</f>
        <v>0</v>
      </c>
      <c r="G314" s="23"/>
      <c r="H314" s="23"/>
      <c r="I314" s="23"/>
      <c r="J314" s="23"/>
      <c r="K314" s="23"/>
      <c r="L314" s="23"/>
      <c r="M314" s="23"/>
      <c r="N314" s="23" t="s">
        <v>23</v>
      </c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 t="s">
        <v>23</v>
      </c>
      <c r="AF314" s="23"/>
      <c r="AG314" s="23"/>
    </row>
    <row r="315" spans="5:33" ht="12.75">
      <c r="E315" s="183">
        <f>Pelit!A45</f>
      </c>
      <c r="F315" s="183"/>
      <c r="G315" s="183"/>
      <c r="H315" s="183"/>
      <c r="I315" s="183"/>
      <c r="J315" s="183"/>
      <c r="K315" s="183"/>
      <c r="L315" s="183"/>
      <c r="N315" s="184"/>
      <c r="O315" s="185"/>
      <c r="P315" s="185"/>
      <c r="Q315" s="186"/>
      <c r="V315" s="183">
        <f>Pelit!F45</f>
      </c>
      <c r="W315" s="183"/>
      <c r="X315" s="183"/>
      <c r="Y315" s="183"/>
      <c r="Z315" s="183"/>
      <c r="AA315" s="183"/>
      <c r="AB315" s="183"/>
      <c r="AC315" s="183"/>
      <c r="AE315" s="184"/>
      <c r="AF315" s="185"/>
      <c r="AG315" s="186"/>
    </row>
    <row r="316" spans="1:33" ht="21" thickBot="1">
      <c r="A316" s="182" t="s">
        <v>75</v>
      </c>
      <c r="B316" s="182"/>
      <c r="C316" s="182"/>
      <c r="D316" s="182"/>
      <c r="E316" s="183"/>
      <c r="F316" s="183"/>
      <c r="G316" s="183"/>
      <c r="H316" s="183"/>
      <c r="I316" s="183"/>
      <c r="J316" s="183"/>
      <c r="K316" s="183"/>
      <c r="L316" s="183"/>
      <c r="N316" s="187"/>
      <c r="O316" s="188"/>
      <c r="P316" s="188"/>
      <c r="Q316" s="189"/>
      <c r="R316" s="182" t="s">
        <v>76</v>
      </c>
      <c r="S316" s="182"/>
      <c r="T316" s="182"/>
      <c r="U316" s="182"/>
      <c r="V316" s="183"/>
      <c r="W316" s="183"/>
      <c r="X316" s="183"/>
      <c r="Y316" s="183"/>
      <c r="Z316" s="183"/>
      <c r="AA316" s="183"/>
      <c r="AB316" s="183"/>
      <c r="AC316" s="183"/>
      <c r="AD316" s="24"/>
      <c r="AE316" s="187"/>
      <c r="AF316" s="188"/>
      <c r="AG316" s="189"/>
    </row>
    <row r="317" ht="13.5" thickBot="1"/>
    <row r="318" spans="1:33" ht="24" thickBot="1">
      <c r="A318" s="181" t="s">
        <v>39</v>
      </c>
      <c r="B318" s="181"/>
      <c r="C318" s="181"/>
      <c r="D318" s="181" t="s">
        <v>40</v>
      </c>
      <c r="E318" s="181"/>
      <c r="F318" s="181"/>
      <c r="G318" s="181" t="s">
        <v>41</v>
      </c>
      <c r="H318" s="181"/>
      <c r="I318" s="181"/>
      <c r="J318" s="181" t="s">
        <v>42</v>
      </c>
      <c r="K318" s="181"/>
      <c r="L318" s="181"/>
      <c r="M318" s="181" t="s">
        <v>43</v>
      </c>
      <c r="N318" s="181"/>
      <c r="O318" s="181"/>
      <c r="P318" s="181" t="s">
        <v>44</v>
      </c>
      <c r="Q318" s="181"/>
      <c r="R318" s="181"/>
      <c r="S318" s="181" t="s">
        <v>45</v>
      </c>
      <c r="T318" s="181"/>
      <c r="U318" s="181"/>
      <c r="V318" s="181" t="s">
        <v>46</v>
      </c>
      <c r="W318" s="181"/>
      <c r="X318" s="181"/>
      <c r="Y318" s="181" t="s">
        <v>47</v>
      </c>
      <c r="Z318" s="181"/>
      <c r="AA318" s="181"/>
      <c r="AB318" s="181" t="s">
        <v>48</v>
      </c>
      <c r="AC318" s="181"/>
      <c r="AD318" s="181"/>
      <c r="AE318" s="181" t="s">
        <v>49</v>
      </c>
      <c r="AF318" s="181"/>
      <c r="AG318" s="181"/>
    </row>
    <row r="319" spans="1:33" ht="12.75">
      <c r="A319" s="179"/>
      <c r="B319" s="173" t="s">
        <v>26</v>
      </c>
      <c r="C319" s="175"/>
      <c r="D319" s="171"/>
      <c r="E319" s="177" t="s">
        <v>26</v>
      </c>
      <c r="F319" s="175"/>
      <c r="G319" s="171"/>
      <c r="H319" s="173" t="s">
        <v>26</v>
      </c>
      <c r="I319" s="175"/>
      <c r="J319" s="171"/>
      <c r="K319" s="173" t="s">
        <v>26</v>
      </c>
      <c r="L319" s="175"/>
      <c r="M319" s="171"/>
      <c r="N319" s="173" t="s">
        <v>26</v>
      </c>
      <c r="O319" s="175"/>
      <c r="P319" s="179"/>
      <c r="Q319" s="173" t="s">
        <v>26</v>
      </c>
      <c r="R319" s="175"/>
      <c r="S319" s="171"/>
      <c r="T319" s="177" t="s">
        <v>26</v>
      </c>
      <c r="U319" s="175"/>
      <c r="V319" s="171"/>
      <c r="W319" s="173" t="s">
        <v>26</v>
      </c>
      <c r="X319" s="175"/>
      <c r="Y319" s="171"/>
      <c r="Z319" s="173" t="s">
        <v>26</v>
      </c>
      <c r="AA319" s="175"/>
      <c r="AB319" s="171"/>
      <c r="AC319" s="173" t="s">
        <v>26</v>
      </c>
      <c r="AD319" s="175"/>
      <c r="AE319" s="171"/>
      <c r="AF319" s="173" t="s">
        <v>26</v>
      </c>
      <c r="AG319" s="175"/>
    </row>
    <row r="320" spans="1:33" ht="13.5" thickBot="1">
      <c r="A320" s="180"/>
      <c r="B320" s="174"/>
      <c r="C320" s="176"/>
      <c r="D320" s="172"/>
      <c r="E320" s="178"/>
      <c r="F320" s="176"/>
      <c r="G320" s="172"/>
      <c r="H320" s="174"/>
      <c r="I320" s="176"/>
      <c r="J320" s="172"/>
      <c r="K320" s="174"/>
      <c r="L320" s="176"/>
      <c r="M320" s="172"/>
      <c r="N320" s="174"/>
      <c r="O320" s="176"/>
      <c r="P320" s="180"/>
      <c r="Q320" s="174"/>
      <c r="R320" s="176"/>
      <c r="S320" s="172"/>
      <c r="T320" s="178"/>
      <c r="U320" s="176"/>
      <c r="V320" s="172"/>
      <c r="W320" s="174"/>
      <c r="X320" s="176"/>
      <c r="Y320" s="172"/>
      <c r="Z320" s="174"/>
      <c r="AA320" s="176"/>
      <c r="AB320" s="172"/>
      <c r="AC320" s="174"/>
      <c r="AD320" s="176"/>
      <c r="AE320" s="172"/>
      <c r="AF320" s="174"/>
      <c r="AG320" s="176"/>
    </row>
    <row r="321" spans="1:33" ht="2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 spans="1:33" ht="2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190" t="s">
        <v>77</v>
      </c>
      <c r="L322" s="190"/>
      <c r="M322" s="190"/>
      <c r="N322" s="190"/>
      <c r="O322" s="190"/>
      <c r="P322" s="190"/>
      <c r="Q322" s="190"/>
      <c r="R322" s="190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 spans="1:33" ht="20.25">
      <c r="A323" s="24"/>
      <c r="B323" s="26"/>
      <c r="C323" s="26"/>
      <c r="D323" s="26"/>
      <c r="E323" s="26"/>
      <c r="F323" s="26"/>
      <c r="G323" s="26"/>
      <c r="H323" s="26"/>
      <c r="I323" s="26"/>
      <c r="J323" s="27" t="s">
        <v>50</v>
      </c>
      <c r="K323" s="190"/>
      <c r="L323" s="190"/>
      <c r="M323" s="190"/>
      <c r="N323" s="190"/>
      <c r="O323" s="190"/>
      <c r="P323" s="190"/>
      <c r="Q323" s="190"/>
      <c r="R323" s="190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</row>
    <row r="324" spans="1:33" ht="2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</row>
    <row r="325" spans="1:33" ht="2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65" t="s">
        <v>21</v>
      </c>
      <c r="AG325" s="47">
        <f>AG313+1</f>
        <v>28</v>
      </c>
    </row>
    <row r="326" spans="1:33" ht="24" thickBot="1">
      <c r="A326" s="23" t="s">
        <v>37</v>
      </c>
      <c r="B326" s="23"/>
      <c r="C326" s="23"/>
      <c r="D326" s="23"/>
      <c r="E326" s="23"/>
      <c r="F326" s="60" t="s">
        <v>38</v>
      </c>
      <c r="G326" s="23"/>
      <c r="H326" s="23"/>
      <c r="I326" s="23"/>
      <c r="J326" s="23"/>
      <c r="K326" s="23"/>
      <c r="L326" s="23"/>
      <c r="M326" s="23"/>
      <c r="N326" s="23" t="s">
        <v>23</v>
      </c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 t="s">
        <v>23</v>
      </c>
      <c r="AF326" s="23"/>
      <c r="AG326" s="23"/>
    </row>
    <row r="327" spans="5:33" ht="12.75">
      <c r="E327" s="183">
        <f>Pelit!A46</f>
      </c>
      <c r="F327" s="183"/>
      <c r="G327" s="183"/>
      <c r="H327" s="183"/>
      <c r="I327" s="183"/>
      <c r="J327" s="183"/>
      <c r="K327" s="183"/>
      <c r="L327" s="183"/>
      <c r="N327" s="184"/>
      <c r="O327" s="185"/>
      <c r="P327" s="185"/>
      <c r="Q327" s="186"/>
      <c r="V327" s="183">
        <f>Pelit!F46</f>
      </c>
      <c r="W327" s="183"/>
      <c r="X327" s="183"/>
      <c r="Y327" s="183"/>
      <c r="Z327" s="183"/>
      <c r="AA327" s="183"/>
      <c r="AB327" s="183"/>
      <c r="AC327" s="183"/>
      <c r="AE327" s="184"/>
      <c r="AF327" s="185"/>
      <c r="AG327" s="186"/>
    </row>
    <row r="328" spans="1:33" ht="21" thickBot="1">
      <c r="A328" s="182" t="s">
        <v>75</v>
      </c>
      <c r="B328" s="182"/>
      <c r="C328" s="182"/>
      <c r="D328" s="182"/>
      <c r="E328" s="183"/>
      <c r="F328" s="183"/>
      <c r="G328" s="183"/>
      <c r="H328" s="183"/>
      <c r="I328" s="183"/>
      <c r="J328" s="183"/>
      <c r="K328" s="183"/>
      <c r="L328" s="183"/>
      <c r="N328" s="187"/>
      <c r="O328" s="188"/>
      <c r="P328" s="188"/>
      <c r="Q328" s="189"/>
      <c r="R328" s="182" t="s">
        <v>76</v>
      </c>
      <c r="S328" s="182"/>
      <c r="T328" s="182"/>
      <c r="U328" s="182"/>
      <c r="V328" s="183"/>
      <c r="W328" s="183"/>
      <c r="X328" s="183"/>
      <c r="Y328" s="183"/>
      <c r="Z328" s="183"/>
      <c r="AA328" s="183"/>
      <c r="AB328" s="183"/>
      <c r="AC328" s="183"/>
      <c r="AD328" s="24"/>
      <c r="AE328" s="187"/>
      <c r="AF328" s="188"/>
      <c r="AG328" s="189"/>
    </row>
    <row r="329" ht="13.5" thickBot="1"/>
    <row r="330" spans="1:33" ht="24" thickBot="1">
      <c r="A330" s="181" t="s">
        <v>39</v>
      </c>
      <c r="B330" s="181"/>
      <c r="C330" s="181"/>
      <c r="D330" s="181" t="s">
        <v>40</v>
      </c>
      <c r="E330" s="181"/>
      <c r="F330" s="181"/>
      <c r="G330" s="181" t="s">
        <v>41</v>
      </c>
      <c r="H330" s="181"/>
      <c r="I330" s="181"/>
      <c r="J330" s="181" t="s">
        <v>42</v>
      </c>
      <c r="K330" s="181"/>
      <c r="L330" s="181"/>
      <c r="M330" s="181" t="s">
        <v>43</v>
      </c>
      <c r="N330" s="181"/>
      <c r="O330" s="181"/>
      <c r="P330" s="181" t="s">
        <v>44</v>
      </c>
      <c r="Q330" s="181"/>
      <c r="R330" s="181"/>
      <c r="S330" s="181" t="s">
        <v>45</v>
      </c>
      <c r="T330" s="181"/>
      <c r="U330" s="181"/>
      <c r="V330" s="181" t="s">
        <v>46</v>
      </c>
      <c r="W330" s="181"/>
      <c r="X330" s="181"/>
      <c r="Y330" s="181" t="s">
        <v>47</v>
      </c>
      <c r="Z330" s="181"/>
      <c r="AA330" s="181"/>
      <c r="AB330" s="181" t="s">
        <v>48</v>
      </c>
      <c r="AC330" s="181"/>
      <c r="AD330" s="181"/>
      <c r="AE330" s="181" t="s">
        <v>49</v>
      </c>
      <c r="AF330" s="181"/>
      <c r="AG330" s="181"/>
    </row>
    <row r="331" spans="1:33" ht="12.75">
      <c r="A331" s="179"/>
      <c r="B331" s="173" t="s">
        <v>26</v>
      </c>
      <c r="C331" s="175"/>
      <c r="D331" s="171"/>
      <c r="E331" s="177" t="s">
        <v>26</v>
      </c>
      <c r="F331" s="175"/>
      <c r="G331" s="171"/>
      <c r="H331" s="173" t="s">
        <v>26</v>
      </c>
      <c r="I331" s="175"/>
      <c r="J331" s="171"/>
      <c r="K331" s="173" t="s">
        <v>26</v>
      </c>
      <c r="L331" s="175"/>
      <c r="M331" s="171"/>
      <c r="N331" s="173" t="s">
        <v>26</v>
      </c>
      <c r="O331" s="175"/>
      <c r="P331" s="179"/>
      <c r="Q331" s="173" t="s">
        <v>26</v>
      </c>
      <c r="R331" s="175"/>
      <c r="S331" s="171"/>
      <c r="T331" s="177" t="s">
        <v>26</v>
      </c>
      <c r="U331" s="175"/>
      <c r="V331" s="171"/>
      <c r="W331" s="173" t="s">
        <v>26</v>
      </c>
      <c r="X331" s="175"/>
      <c r="Y331" s="171"/>
      <c r="Z331" s="173" t="s">
        <v>26</v>
      </c>
      <c r="AA331" s="175"/>
      <c r="AB331" s="171"/>
      <c r="AC331" s="173" t="s">
        <v>26</v>
      </c>
      <c r="AD331" s="175"/>
      <c r="AE331" s="171"/>
      <c r="AF331" s="173" t="s">
        <v>26</v>
      </c>
      <c r="AG331" s="175"/>
    </row>
    <row r="332" spans="1:33" ht="13.5" thickBot="1">
      <c r="A332" s="180"/>
      <c r="B332" s="174"/>
      <c r="C332" s="176"/>
      <c r="D332" s="172"/>
      <c r="E332" s="178"/>
      <c r="F332" s="176"/>
      <c r="G332" s="172"/>
      <c r="H332" s="174"/>
      <c r="I332" s="176"/>
      <c r="J332" s="172"/>
      <c r="K332" s="174"/>
      <c r="L332" s="176"/>
      <c r="M332" s="172"/>
      <c r="N332" s="174"/>
      <c r="O332" s="176"/>
      <c r="P332" s="180"/>
      <c r="Q332" s="174"/>
      <c r="R332" s="176"/>
      <c r="S332" s="172"/>
      <c r="T332" s="178"/>
      <c r="U332" s="176"/>
      <c r="V332" s="172"/>
      <c r="W332" s="174"/>
      <c r="X332" s="176"/>
      <c r="Y332" s="172"/>
      <c r="Z332" s="174"/>
      <c r="AA332" s="176"/>
      <c r="AB332" s="172"/>
      <c r="AC332" s="174"/>
      <c r="AD332" s="176"/>
      <c r="AE332" s="172"/>
      <c r="AF332" s="174"/>
      <c r="AG332" s="176"/>
    </row>
    <row r="334" spans="11:18" ht="12.75">
      <c r="K334" s="190" t="s">
        <v>77</v>
      </c>
      <c r="L334" s="190"/>
      <c r="M334" s="190"/>
      <c r="N334" s="190"/>
      <c r="O334" s="190"/>
      <c r="P334" s="190"/>
      <c r="Q334" s="190"/>
      <c r="R334" s="190"/>
    </row>
    <row r="335" spans="1:33" ht="20.25">
      <c r="A335" s="24"/>
      <c r="B335" s="24"/>
      <c r="C335" s="24"/>
      <c r="D335" s="24"/>
      <c r="E335" s="24"/>
      <c r="F335" s="24"/>
      <c r="G335" s="24"/>
      <c r="H335" s="24"/>
      <c r="I335" s="24"/>
      <c r="J335" s="27" t="s">
        <v>50</v>
      </c>
      <c r="K335" s="190"/>
      <c r="L335" s="190"/>
      <c r="M335" s="190"/>
      <c r="N335" s="190"/>
      <c r="O335" s="190"/>
      <c r="P335" s="190"/>
      <c r="Q335" s="190"/>
      <c r="R335" s="190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ht="20.25">
      <c r="A336" s="24"/>
    </row>
    <row r="337" spans="32:33" ht="12.75">
      <c r="AF337" s="65" t="s">
        <v>1</v>
      </c>
      <c r="AG337" s="47">
        <f>AG325+1</f>
        <v>29</v>
      </c>
    </row>
    <row r="338" spans="1:33" ht="24" thickBot="1">
      <c r="A338" s="23" t="s">
        <v>37</v>
      </c>
      <c r="B338" s="23"/>
      <c r="C338" s="23"/>
      <c r="D338" s="23"/>
      <c r="E338" s="23"/>
      <c r="F338" s="60">
        <f>'16_4 kaavio'!P29</f>
        <v>0</v>
      </c>
      <c r="G338" s="23"/>
      <c r="H338" s="23"/>
      <c r="I338" s="23"/>
      <c r="J338" s="23"/>
      <c r="K338" s="23"/>
      <c r="L338" s="23"/>
      <c r="M338" s="23"/>
      <c r="N338" s="23" t="s">
        <v>23</v>
      </c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 t="s">
        <v>23</v>
      </c>
      <c r="AF338" s="23"/>
      <c r="AG338" s="23"/>
    </row>
    <row r="339" spans="5:33" ht="12.75">
      <c r="E339" s="183">
        <f>Pelit!A49</f>
      </c>
      <c r="F339" s="183"/>
      <c r="G339" s="183"/>
      <c r="H339" s="183"/>
      <c r="I339" s="183"/>
      <c r="J339" s="183"/>
      <c r="K339" s="183"/>
      <c r="L339" s="183"/>
      <c r="N339" s="184"/>
      <c r="O339" s="185"/>
      <c r="P339" s="185"/>
      <c r="Q339" s="186"/>
      <c r="V339" s="183">
        <f>Pelit!F49</f>
      </c>
      <c r="W339" s="183"/>
      <c r="X339" s="183"/>
      <c r="Y339" s="183"/>
      <c r="Z339" s="183"/>
      <c r="AA339" s="183"/>
      <c r="AB339" s="183"/>
      <c r="AC339" s="183"/>
      <c r="AE339" s="184"/>
      <c r="AF339" s="185"/>
      <c r="AG339" s="186"/>
    </row>
    <row r="340" spans="1:33" ht="21" thickBot="1">
      <c r="A340" s="182" t="s">
        <v>75</v>
      </c>
      <c r="B340" s="182"/>
      <c r="C340" s="182"/>
      <c r="D340" s="182"/>
      <c r="E340" s="183"/>
      <c r="F340" s="183"/>
      <c r="G340" s="183"/>
      <c r="H340" s="183"/>
      <c r="I340" s="183"/>
      <c r="J340" s="183"/>
      <c r="K340" s="183"/>
      <c r="L340" s="183"/>
      <c r="N340" s="187"/>
      <c r="O340" s="188"/>
      <c r="P340" s="188"/>
      <c r="Q340" s="189"/>
      <c r="R340" s="182" t="s">
        <v>76</v>
      </c>
      <c r="S340" s="182"/>
      <c r="T340" s="182"/>
      <c r="U340" s="182"/>
      <c r="V340" s="183"/>
      <c r="W340" s="183"/>
      <c r="X340" s="183"/>
      <c r="Y340" s="183"/>
      <c r="Z340" s="183"/>
      <c r="AA340" s="183"/>
      <c r="AB340" s="183"/>
      <c r="AC340" s="183"/>
      <c r="AD340" s="24"/>
      <c r="AE340" s="187"/>
      <c r="AF340" s="188"/>
      <c r="AG340" s="189"/>
    </row>
    <row r="341" ht="13.5" thickBot="1"/>
    <row r="342" spans="1:33" ht="24" thickBot="1">
      <c r="A342" s="181" t="s">
        <v>39</v>
      </c>
      <c r="B342" s="181"/>
      <c r="C342" s="181"/>
      <c r="D342" s="181" t="s">
        <v>40</v>
      </c>
      <c r="E342" s="181"/>
      <c r="F342" s="181"/>
      <c r="G342" s="181" t="s">
        <v>41</v>
      </c>
      <c r="H342" s="181"/>
      <c r="I342" s="181"/>
      <c r="J342" s="181" t="s">
        <v>42</v>
      </c>
      <c r="K342" s="181"/>
      <c r="L342" s="181"/>
      <c r="M342" s="181" t="s">
        <v>43</v>
      </c>
      <c r="N342" s="181"/>
      <c r="O342" s="181"/>
      <c r="P342" s="181" t="s">
        <v>44</v>
      </c>
      <c r="Q342" s="181"/>
      <c r="R342" s="181"/>
      <c r="S342" s="181" t="s">
        <v>45</v>
      </c>
      <c r="T342" s="181"/>
      <c r="U342" s="181"/>
      <c r="V342" s="181" t="s">
        <v>46</v>
      </c>
      <c r="W342" s="181"/>
      <c r="X342" s="181"/>
      <c r="Y342" s="181" t="s">
        <v>47</v>
      </c>
      <c r="Z342" s="181"/>
      <c r="AA342" s="181"/>
      <c r="AB342" s="181" t="s">
        <v>48</v>
      </c>
      <c r="AC342" s="181"/>
      <c r="AD342" s="181"/>
      <c r="AE342" s="181" t="s">
        <v>49</v>
      </c>
      <c r="AF342" s="181"/>
      <c r="AG342" s="181"/>
    </row>
    <row r="343" spans="1:33" ht="12.75">
      <c r="A343" s="179"/>
      <c r="B343" s="173" t="s">
        <v>26</v>
      </c>
      <c r="C343" s="175"/>
      <c r="D343" s="171"/>
      <c r="E343" s="177" t="s">
        <v>26</v>
      </c>
      <c r="F343" s="175"/>
      <c r="G343" s="171"/>
      <c r="H343" s="173" t="s">
        <v>26</v>
      </c>
      <c r="I343" s="175"/>
      <c r="J343" s="171"/>
      <c r="K343" s="173" t="s">
        <v>26</v>
      </c>
      <c r="L343" s="175"/>
      <c r="M343" s="171"/>
      <c r="N343" s="173" t="s">
        <v>26</v>
      </c>
      <c r="O343" s="175"/>
      <c r="P343" s="179"/>
      <c r="Q343" s="173" t="s">
        <v>26</v>
      </c>
      <c r="R343" s="175"/>
      <c r="S343" s="171"/>
      <c r="T343" s="177" t="s">
        <v>26</v>
      </c>
      <c r="U343" s="175"/>
      <c r="V343" s="171"/>
      <c r="W343" s="173" t="s">
        <v>26</v>
      </c>
      <c r="X343" s="175"/>
      <c r="Y343" s="171"/>
      <c r="Z343" s="173" t="s">
        <v>26</v>
      </c>
      <c r="AA343" s="175"/>
      <c r="AB343" s="171"/>
      <c r="AC343" s="173" t="s">
        <v>26</v>
      </c>
      <c r="AD343" s="175"/>
      <c r="AE343" s="171"/>
      <c r="AF343" s="173" t="s">
        <v>26</v>
      </c>
      <c r="AG343" s="175"/>
    </row>
    <row r="344" spans="1:33" ht="13.5" thickBot="1">
      <c r="A344" s="180"/>
      <c r="B344" s="174"/>
      <c r="C344" s="176"/>
      <c r="D344" s="172"/>
      <c r="E344" s="178"/>
      <c r="F344" s="176"/>
      <c r="G344" s="172"/>
      <c r="H344" s="174"/>
      <c r="I344" s="176"/>
      <c r="J344" s="172"/>
      <c r="K344" s="174"/>
      <c r="L344" s="176"/>
      <c r="M344" s="172"/>
      <c r="N344" s="174"/>
      <c r="O344" s="176"/>
      <c r="P344" s="180"/>
      <c r="Q344" s="174"/>
      <c r="R344" s="176"/>
      <c r="S344" s="172"/>
      <c r="T344" s="178"/>
      <c r="U344" s="176"/>
      <c r="V344" s="172"/>
      <c r="W344" s="174"/>
      <c r="X344" s="176"/>
      <c r="Y344" s="172"/>
      <c r="Z344" s="174"/>
      <c r="AA344" s="176"/>
      <c r="AB344" s="172"/>
      <c r="AC344" s="174"/>
      <c r="AD344" s="176"/>
      <c r="AE344" s="172"/>
      <c r="AF344" s="174"/>
      <c r="AG344" s="176"/>
    </row>
    <row r="345" spans="1:33" ht="2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</row>
    <row r="346" spans="1:33" ht="2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</row>
    <row r="347" spans="1:33" ht="20.25">
      <c r="A347" s="24"/>
      <c r="B347" s="26"/>
      <c r="C347" s="26"/>
      <c r="D347" s="26"/>
      <c r="E347" s="26"/>
      <c r="F347" s="26"/>
      <c r="G347" s="26"/>
      <c r="H347" s="26"/>
      <c r="I347" s="26"/>
      <c r="J347" s="27" t="s">
        <v>50</v>
      </c>
      <c r="K347" s="25" t="s">
        <v>51</v>
      </c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</row>
    <row r="348" spans="1:33" ht="2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</row>
  </sheetData>
  <sheetProtection/>
  <mergeCells count="1475">
    <mergeCell ref="M6:O6"/>
    <mergeCell ref="P7:P8"/>
    <mergeCell ref="E15:L16"/>
    <mergeCell ref="N15:Q16"/>
    <mergeCell ref="I19:I20"/>
    <mergeCell ref="P6:R6"/>
    <mergeCell ref="S6:U6"/>
    <mergeCell ref="V6:X6"/>
    <mergeCell ref="E3:L4"/>
    <mergeCell ref="V3:AC4"/>
    <mergeCell ref="P19:P20"/>
    <mergeCell ref="M7:M8"/>
    <mergeCell ref="N7:N8"/>
    <mergeCell ref="O7:O8"/>
    <mergeCell ref="J6:L6"/>
    <mergeCell ref="A4:D4"/>
    <mergeCell ref="R4:U4"/>
    <mergeCell ref="AE6:AG6"/>
    <mergeCell ref="N3:Q4"/>
    <mergeCell ref="AE3:AG4"/>
    <mergeCell ref="A6:C6"/>
    <mergeCell ref="D6:F6"/>
    <mergeCell ref="G6:I6"/>
    <mergeCell ref="Y6:AA6"/>
    <mergeCell ref="AB6:AD6"/>
    <mergeCell ref="E7:E8"/>
    <mergeCell ref="F7:F8"/>
    <mergeCell ref="G7:G8"/>
    <mergeCell ref="H7:H8"/>
    <mergeCell ref="A7:A8"/>
    <mergeCell ref="B7:B8"/>
    <mergeCell ref="C7:C8"/>
    <mergeCell ref="D7:D8"/>
    <mergeCell ref="Q7:Q8"/>
    <mergeCell ref="R7:R8"/>
    <mergeCell ref="AA7:AA8"/>
    <mergeCell ref="I7:I8"/>
    <mergeCell ref="J7:J8"/>
    <mergeCell ref="K7:K8"/>
    <mergeCell ref="L7:L8"/>
    <mergeCell ref="AD7:AD8"/>
    <mergeCell ref="S7:S8"/>
    <mergeCell ref="T7:T8"/>
    <mergeCell ref="U7:U8"/>
    <mergeCell ref="V7:V8"/>
    <mergeCell ref="W7:W8"/>
    <mergeCell ref="X7:X8"/>
    <mergeCell ref="V15:AC16"/>
    <mergeCell ref="AE15:AG16"/>
    <mergeCell ref="AE7:AE8"/>
    <mergeCell ref="AF7:AF8"/>
    <mergeCell ref="AG7:AG8"/>
    <mergeCell ref="K10:R11"/>
    <mergeCell ref="Y7:Y8"/>
    <mergeCell ref="Z7:Z8"/>
    <mergeCell ref="AB7:AB8"/>
    <mergeCell ref="AC7:AC8"/>
    <mergeCell ref="AB18:AD18"/>
    <mergeCell ref="AE18:AG18"/>
    <mergeCell ref="A16:D16"/>
    <mergeCell ref="R16:U16"/>
    <mergeCell ref="A18:C18"/>
    <mergeCell ref="D18:F18"/>
    <mergeCell ref="G18:I18"/>
    <mergeCell ref="J18:L18"/>
    <mergeCell ref="M18:O18"/>
    <mergeCell ref="P18:R18"/>
    <mergeCell ref="A19:A20"/>
    <mergeCell ref="B19:B20"/>
    <mergeCell ref="C19:C20"/>
    <mergeCell ref="D19:D20"/>
    <mergeCell ref="V18:X18"/>
    <mergeCell ref="Y18:AA18"/>
    <mergeCell ref="S18:U18"/>
    <mergeCell ref="M19:M20"/>
    <mergeCell ref="N19:N20"/>
    <mergeCell ref="O19:O20"/>
    <mergeCell ref="J19:J20"/>
    <mergeCell ref="K19:K20"/>
    <mergeCell ref="L19:L20"/>
    <mergeCell ref="E19:E20"/>
    <mergeCell ref="F19:F20"/>
    <mergeCell ref="G19:G20"/>
    <mergeCell ref="H19:H20"/>
    <mergeCell ref="AF19:AF20"/>
    <mergeCell ref="AA19:AA20"/>
    <mergeCell ref="AB19:AB20"/>
    <mergeCell ref="Q19:Q20"/>
    <mergeCell ref="R19:R20"/>
    <mergeCell ref="S19:S20"/>
    <mergeCell ref="T19:T20"/>
    <mergeCell ref="U19:U20"/>
    <mergeCell ref="V19:V20"/>
    <mergeCell ref="AE27:AG28"/>
    <mergeCell ref="AG19:AG20"/>
    <mergeCell ref="K22:R23"/>
    <mergeCell ref="W19:W20"/>
    <mergeCell ref="X19:X20"/>
    <mergeCell ref="Y19:Y20"/>
    <mergeCell ref="Z19:Z20"/>
    <mergeCell ref="AC19:AC20"/>
    <mergeCell ref="AD19:AD20"/>
    <mergeCell ref="AE19:AE20"/>
    <mergeCell ref="E27:L28"/>
    <mergeCell ref="N27:Q28"/>
    <mergeCell ref="V27:AC28"/>
    <mergeCell ref="V30:X30"/>
    <mergeCell ref="Y30:AA30"/>
    <mergeCell ref="AB30:AD30"/>
    <mergeCell ref="AE30:AG30"/>
    <mergeCell ref="A28:D28"/>
    <mergeCell ref="R28:U28"/>
    <mergeCell ref="A30:C30"/>
    <mergeCell ref="D30:F30"/>
    <mergeCell ref="G30:I30"/>
    <mergeCell ref="J30:L30"/>
    <mergeCell ref="M30:O30"/>
    <mergeCell ref="P30:R30"/>
    <mergeCell ref="S30:U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J31:J32"/>
    <mergeCell ref="K31:K32"/>
    <mergeCell ref="W31:W32"/>
    <mergeCell ref="L31:L32"/>
    <mergeCell ref="M31:M32"/>
    <mergeCell ref="N31:N32"/>
    <mergeCell ref="O31:O32"/>
    <mergeCell ref="P31:P32"/>
    <mergeCell ref="Q31:Q32"/>
    <mergeCell ref="U31:U32"/>
    <mergeCell ref="V31:V32"/>
    <mergeCell ref="Y31:Y32"/>
    <mergeCell ref="Z31:Z32"/>
    <mergeCell ref="AA31:AA32"/>
    <mergeCell ref="AB31:AB32"/>
    <mergeCell ref="N39:Q40"/>
    <mergeCell ref="V39:AC40"/>
    <mergeCell ref="AD31:AD32"/>
    <mergeCell ref="AE31:AE32"/>
    <mergeCell ref="AF31:AF32"/>
    <mergeCell ref="AG31:AG32"/>
    <mergeCell ref="AC31:AC32"/>
    <mergeCell ref="R31:R32"/>
    <mergeCell ref="S31:S32"/>
    <mergeCell ref="T31:T32"/>
    <mergeCell ref="A42:C42"/>
    <mergeCell ref="D42:F42"/>
    <mergeCell ref="G42:I42"/>
    <mergeCell ref="J42:L42"/>
    <mergeCell ref="AE39:AG40"/>
    <mergeCell ref="X31:X32"/>
    <mergeCell ref="A40:D40"/>
    <mergeCell ref="R40:U40"/>
    <mergeCell ref="K34:R35"/>
    <mergeCell ref="E39:L40"/>
    <mergeCell ref="AE42:AG42"/>
    <mergeCell ref="A43:A44"/>
    <mergeCell ref="B43:B44"/>
    <mergeCell ref="C43:C44"/>
    <mergeCell ref="D43:D44"/>
    <mergeCell ref="E43:E44"/>
    <mergeCell ref="F43:F44"/>
    <mergeCell ref="G43:G44"/>
    <mergeCell ref="M42:O42"/>
    <mergeCell ref="P42:R42"/>
    <mergeCell ref="H43:H44"/>
    <mergeCell ref="I43:I44"/>
    <mergeCell ref="J43:J44"/>
    <mergeCell ref="K43:K44"/>
    <mergeCell ref="Y42:AA42"/>
    <mergeCell ref="AB42:AD42"/>
    <mergeCell ref="S42:U42"/>
    <mergeCell ref="V42:X42"/>
    <mergeCell ref="P43:P44"/>
    <mergeCell ref="Q43:Q44"/>
    <mergeCell ref="R43:R44"/>
    <mergeCell ref="AA43:AA44"/>
    <mergeCell ref="L43:L44"/>
    <mergeCell ref="M43:M44"/>
    <mergeCell ref="N43:N44"/>
    <mergeCell ref="O43:O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E51:L52"/>
    <mergeCell ref="N51:Q52"/>
    <mergeCell ref="V51:AC52"/>
    <mergeCell ref="AE51:AG52"/>
    <mergeCell ref="AE43:AE44"/>
    <mergeCell ref="AF43:AF44"/>
    <mergeCell ref="AG43:AG44"/>
    <mergeCell ref="K46:R47"/>
    <mergeCell ref="Y43:Y44"/>
    <mergeCell ref="Z43:Z44"/>
    <mergeCell ref="AB54:AD54"/>
    <mergeCell ref="AE54:AG54"/>
    <mergeCell ref="A52:D52"/>
    <mergeCell ref="R52:U52"/>
    <mergeCell ref="A54:C54"/>
    <mergeCell ref="D54:F54"/>
    <mergeCell ref="G54:I54"/>
    <mergeCell ref="J54:L54"/>
    <mergeCell ref="M54:O54"/>
    <mergeCell ref="P54:R54"/>
    <mergeCell ref="A55:A56"/>
    <mergeCell ref="B55:B56"/>
    <mergeCell ref="C55:C56"/>
    <mergeCell ref="D55:D56"/>
    <mergeCell ref="V54:X54"/>
    <mergeCell ref="Y54:AA54"/>
    <mergeCell ref="S54:U54"/>
    <mergeCell ref="I55:I56"/>
    <mergeCell ref="J55:J56"/>
    <mergeCell ref="K55:K56"/>
    <mergeCell ref="L55:L56"/>
    <mergeCell ref="E55:E56"/>
    <mergeCell ref="F55:F56"/>
    <mergeCell ref="G55:G56"/>
    <mergeCell ref="H55:H56"/>
    <mergeCell ref="Q55:Q56"/>
    <mergeCell ref="R55:R56"/>
    <mergeCell ref="AB55:AB56"/>
    <mergeCell ref="AC55:AC56"/>
    <mergeCell ref="M55:M56"/>
    <mergeCell ref="N55:N56"/>
    <mergeCell ref="O55:O56"/>
    <mergeCell ref="P55:P56"/>
    <mergeCell ref="AD55:AD56"/>
    <mergeCell ref="S55:S56"/>
    <mergeCell ref="T55:T56"/>
    <mergeCell ref="U55:U56"/>
    <mergeCell ref="V55:V56"/>
    <mergeCell ref="W55:W56"/>
    <mergeCell ref="X55:X56"/>
    <mergeCell ref="AE55:AE56"/>
    <mergeCell ref="AF55:AF56"/>
    <mergeCell ref="AG55:AG56"/>
    <mergeCell ref="E63:L64"/>
    <mergeCell ref="N63:Q64"/>
    <mergeCell ref="V63:AC64"/>
    <mergeCell ref="AE63:AG64"/>
    <mergeCell ref="Y55:Y56"/>
    <mergeCell ref="Z55:Z56"/>
    <mergeCell ref="AA55:AA56"/>
    <mergeCell ref="AB66:AD66"/>
    <mergeCell ref="AE66:AG66"/>
    <mergeCell ref="A64:D64"/>
    <mergeCell ref="R64:U64"/>
    <mergeCell ref="A66:C66"/>
    <mergeCell ref="D66:F66"/>
    <mergeCell ref="G66:I66"/>
    <mergeCell ref="J66:L66"/>
    <mergeCell ref="M66:O66"/>
    <mergeCell ref="P66:R66"/>
    <mergeCell ref="A67:A68"/>
    <mergeCell ref="B67:B68"/>
    <mergeCell ref="C67:C68"/>
    <mergeCell ref="D67:D68"/>
    <mergeCell ref="V66:X66"/>
    <mergeCell ref="Y66:AA66"/>
    <mergeCell ref="S66:U66"/>
    <mergeCell ref="I67:I68"/>
    <mergeCell ref="J67:J68"/>
    <mergeCell ref="K67:K68"/>
    <mergeCell ref="L67:L68"/>
    <mergeCell ref="E67:E68"/>
    <mergeCell ref="F67:F68"/>
    <mergeCell ref="G67:G68"/>
    <mergeCell ref="H67:H68"/>
    <mergeCell ref="Q67:Q68"/>
    <mergeCell ref="R67:R68"/>
    <mergeCell ref="AA67:AA68"/>
    <mergeCell ref="AB67:AB68"/>
    <mergeCell ref="M67:M68"/>
    <mergeCell ref="N67:N68"/>
    <mergeCell ref="O67:O68"/>
    <mergeCell ref="P67:P68"/>
    <mergeCell ref="AC67:AC68"/>
    <mergeCell ref="AD67:AD68"/>
    <mergeCell ref="S67:S68"/>
    <mergeCell ref="T67:T68"/>
    <mergeCell ref="U67:U68"/>
    <mergeCell ref="V67:V68"/>
    <mergeCell ref="W67:W68"/>
    <mergeCell ref="X67:X68"/>
    <mergeCell ref="E75:L76"/>
    <mergeCell ref="N75:Q76"/>
    <mergeCell ref="V75:AC76"/>
    <mergeCell ref="AE75:AG76"/>
    <mergeCell ref="AE67:AE68"/>
    <mergeCell ref="AF67:AF68"/>
    <mergeCell ref="AG67:AG68"/>
    <mergeCell ref="K70:R71"/>
    <mergeCell ref="Y67:Y68"/>
    <mergeCell ref="Z67:Z68"/>
    <mergeCell ref="AB78:AD78"/>
    <mergeCell ref="AE78:AG78"/>
    <mergeCell ref="A76:D76"/>
    <mergeCell ref="R76:U76"/>
    <mergeCell ref="A78:C78"/>
    <mergeCell ref="D78:F78"/>
    <mergeCell ref="G78:I78"/>
    <mergeCell ref="J78:L78"/>
    <mergeCell ref="M78:O78"/>
    <mergeCell ref="P78:R78"/>
    <mergeCell ref="A79:A80"/>
    <mergeCell ref="B79:B80"/>
    <mergeCell ref="C79:C80"/>
    <mergeCell ref="D79:D80"/>
    <mergeCell ref="V78:X78"/>
    <mergeCell ref="Y78:AA78"/>
    <mergeCell ref="S78:U78"/>
    <mergeCell ref="I79:I80"/>
    <mergeCell ref="J79:J80"/>
    <mergeCell ref="K79:K80"/>
    <mergeCell ref="L79:L80"/>
    <mergeCell ref="E79:E80"/>
    <mergeCell ref="F79:F80"/>
    <mergeCell ref="G79:G80"/>
    <mergeCell ref="H79:H80"/>
    <mergeCell ref="Q79:Q80"/>
    <mergeCell ref="R79:R80"/>
    <mergeCell ref="AA79:AA80"/>
    <mergeCell ref="AB79:AB80"/>
    <mergeCell ref="M79:M80"/>
    <mergeCell ref="N79:N80"/>
    <mergeCell ref="O79:O80"/>
    <mergeCell ref="P79:P80"/>
    <mergeCell ref="AC79:AC80"/>
    <mergeCell ref="AD79:AD80"/>
    <mergeCell ref="S79:S80"/>
    <mergeCell ref="T79:T80"/>
    <mergeCell ref="U79:U80"/>
    <mergeCell ref="V79:V80"/>
    <mergeCell ref="W79:W80"/>
    <mergeCell ref="X79:X80"/>
    <mergeCell ref="E87:L88"/>
    <mergeCell ref="N87:Q88"/>
    <mergeCell ref="V87:AC88"/>
    <mergeCell ref="AE87:AG88"/>
    <mergeCell ref="AE79:AE80"/>
    <mergeCell ref="AF79:AF80"/>
    <mergeCell ref="AG79:AG80"/>
    <mergeCell ref="K82:R83"/>
    <mergeCell ref="Y79:Y80"/>
    <mergeCell ref="Z79:Z80"/>
    <mergeCell ref="AB90:AD90"/>
    <mergeCell ref="AE90:AG90"/>
    <mergeCell ref="A88:D88"/>
    <mergeCell ref="R88:U88"/>
    <mergeCell ref="A90:C90"/>
    <mergeCell ref="D90:F90"/>
    <mergeCell ref="G90:I90"/>
    <mergeCell ref="J90:L90"/>
    <mergeCell ref="M90:O90"/>
    <mergeCell ref="P90:R90"/>
    <mergeCell ref="A91:A92"/>
    <mergeCell ref="B91:B92"/>
    <mergeCell ref="C91:C92"/>
    <mergeCell ref="D91:D92"/>
    <mergeCell ref="V90:X90"/>
    <mergeCell ref="Y90:AA90"/>
    <mergeCell ref="S90:U90"/>
    <mergeCell ref="I91:I92"/>
    <mergeCell ref="J91:J92"/>
    <mergeCell ref="K91:K92"/>
    <mergeCell ref="L91:L92"/>
    <mergeCell ref="E91:E92"/>
    <mergeCell ref="F91:F92"/>
    <mergeCell ref="G91:G92"/>
    <mergeCell ref="H91:H92"/>
    <mergeCell ref="Q91:Q92"/>
    <mergeCell ref="R91:R92"/>
    <mergeCell ref="AA91:AA92"/>
    <mergeCell ref="AB91:AB92"/>
    <mergeCell ref="M91:M92"/>
    <mergeCell ref="N91:N92"/>
    <mergeCell ref="O91:O92"/>
    <mergeCell ref="P91:P92"/>
    <mergeCell ref="AC91:AC92"/>
    <mergeCell ref="AD91:AD92"/>
    <mergeCell ref="S91:S92"/>
    <mergeCell ref="T91:T92"/>
    <mergeCell ref="U91:U92"/>
    <mergeCell ref="V91:V92"/>
    <mergeCell ref="W91:W92"/>
    <mergeCell ref="X91:X92"/>
    <mergeCell ref="E99:L100"/>
    <mergeCell ref="N99:Q100"/>
    <mergeCell ref="V99:AC100"/>
    <mergeCell ref="AE99:AG100"/>
    <mergeCell ref="AE91:AE92"/>
    <mergeCell ref="AF91:AF92"/>
    <mergeCell ref="AG91:AG92"/>
    <mergeCell ref="K94:R95"/>
    <mergeCell ref="Y91:Y92"/>
    <mergeCell ref="Z91:Z92"/>
    <mergeCell ref="AB102:AD102"/>
    <mergeCell ref="AE102:AG102"/>
    <mergeCell ref="A100:D100"/>
    <mergeCell ref="R100:U100"/>
    <mergeCell ref="A102:C102"/>
    <mergeCell ref="D102:F102"/>
    <mergeCell ref="G102:I102"/>
    <mergeCell ref="J102:L102"/>
    <mergeCell ref="M102:O102"/>
    <mergeCell ref="P102:R102"/>
    <mergeCell ref="A103:A104"/>
    <mergeCell ref="B103:B104"/>
    <mergeCell ref="C103:C104"/>
    <mergeCell ref="D103:D104"/>
    <mergeCell ref="V102:X102"/>
    <mergeCell ref="Y102:AA102"/>
    <mergeCell ref="S102:U102"/>
    <mergeCell ref="I103:I104"/>
    <mergeCell ref="J103:J104"/>
    <mergeCell ref="K103:K104"/>
    <mergeCell ref="L103:L104"/>
    <mergeCell ref="E103:E104"/>
    <mergeCell ref="F103:F104"/>
    <mergeCell ref="G103:G104"/>
    <mergeCell ref="H103:H104"/>
    <mergeCell ref="Q103:Q104"/>
    <mergeCell ref="R103:R104"/>
    <mergeCell ref="AA103:AA104"/>
    <mergeCell ref="AB103:AB104"/>
    <mergeCell ref="M103:M104"/>
    <mergeCell ref="N103:N104"/>
    <mergeCell ref="O103:O104"/>
    <mergeCell ref="P103:P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E111:L112"/>
    <mergeCell ref="N111:Q112"/>
    <mergeCell ref="V111:AC112"/>
    <mergeCell ref="AE111:AG112"/>
    <mergeCell ref="AE103:AE104"/>
    <mergeCell ref="AF103:AF104"/>
    <mergeCell ref="AG103:AG104"/>
    <mergeCell ref="K106:R107"/>
    <mergeCell ref="Y103:Y104"/>
    <mergeCell ref="Z103:Z104"/>
    <mergeCell ref="AB114:AD114"/>
    <mergeCell ref="AE114:AG114"/>
    <mergeCell ref="A112:D112"/>
    <mergeCell ref="R112:U112"/>
    <mergeCell ref="A114:C114"/>
    <mergeCell ref="D114:F114"/>
    <mergeCell ref="G114:I114"/>
    <mergeCell ref="J114:L114"/>
    <mergeCell ref="M114:O114"/>
    <mergeCell ref="P114:R114"/>
    <mergeCell ref="A115:A116"/>
    <mergeCell ref="B115:B116"/>
    <mergeCell ref="C115:C116"/>
    <mergeCell ref="D115:D116"/>
    <mergeCell ref="V114:X114"/>
    <mergeCell ref="Y114:AA114"/>
    <mergeCell ref="S114:U114"/>
    <mergeCell ref="I115:I116"/>
    <mergeCell ref="J115:J116"/>
    <mergeCell ref="K115:K116"/>
    <mergeCell ref="L115:L116"/>
    <mergeCell ref="E115:E116"/>
    <mergeCell ref="F115:F116"/>
    <mergeCell ref="G115:G116"/>
    <mergeCell ref="H115:H116"/>
    <mergeCell ref="Q115:Q116"/>
    <mergeCell ref="R115:R116"/>
    <mergeCell ref="AA115:AA116"/>
    <mergeCell ref="AB115:AB116"/>
    <mergeCell ref="M115:M116"/>
    <mergeCell ref="N115:N116"/>
    <mergeCell ref="O115:O116"/>
    <mergeCell ref="P115:P116"/>
    <mergeCell ref="AC115:AC116"/>
    <mergeCell ref="AD115:AD116"/>
    <mergeCell ref="S115:S116"/>
    <mergeCell ref="T115:T116"/>
    <mergeCell ref="U115:U116"/>
    <mergeCell ref="V115:V116"/>
    <mergeCell ref="W115:W116"/>
    <mergeCell ref="X115:X116"/>
    <mergeCell ref="E123:L124"/>
    <mergeCell ref="N123:Q124"/>
    <mergeCell ref="V123:AC124"/>
    <mergeCell ref="AE123:AG124"/>
    <mergeCell ref="AE115:AE116"/>
    <mergeCell ref="AF115:AF116"/>
    <mergeCell ref="AG115:AG116"/>
    <mergeCell ref="K118:R119"/>
    <mergeCell ref="Y115:Y116"/>
    <mergeCell ref="Z115:Z116"/>
    <mergeCell ref="AB126:AD126"/>
    <mergeCell ref="AE126:AG126"/>
    <mergeCell ref="A124:D124"/>
    <mergeCell ref="R124:U124"/>
    <mergeCell ref="A126:C126"/>
    <mergeCell ref="D126:F126"/>
    <mergeCell ref="G126:I126"/>
    <mergeCell ref="J126:L126"/>
    <mergeCell ref="M126:O126"/>
    <mergeCell ref="P126:R126"/>
    <mergeCell ref="A127:A128"/>
    <mergeCell ref="B127:B128"/>
    <mergeCell ref="C127:C128"/>
    <mergeCell ref="D127:D128"/>
    <mergeCell ref="V126:X126"/>
    <mergeCell ref="Y126:AA126"/>
    <mergeCell ref="S126:U126"/>
    <mergeCell ref="I127:I128"/>
    <mergeCell ref="J127:J128"/>
    <mergeCell ref="K127:K128"/>
    <mergeCell ref="L127:L128"/>
    <mergeCell ref="E127:E128"/>
    <mergeCell ref="F127:F128"/>
    <mergeCell ref="G127:G128"/>
    <mergeCell ref="H127:H128"/>
    <mergeCell ref="Q127:Q128"/>
    <mergeCell ref="R127:R128"/>
    <mergeCell ref="AA127:AA128"/>
    <mergeCell ref="AB127:AB128"/>
    <mergeCell ref="M127:M128"/>
    <mergeCell ref="N127:N128"/>
    <mergeCell ref="O127:O128"/>
    <mergeCell ref="P127:P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E135:L136"/>
    <mergeCell ref="N135:Q136"/>
    <mergeCell ref="V135:AC136"/>
    <mergeCell ref="AE135:AG136"/>
    <mergeCell ref="AE127:AE128"/>
    <mergeCell ref="AF127:AF128"/>
    <mergeCell ref="AG127:AG128"/>
    <mergeCell ref="K130:R131"/>
    <mergeCell ref="Y127:Y128"/>
    <mergeCell ref="Z127:Z128"/>
    <mergeCell ref="AB138:AD138"/>
    <mergeCell ref="AE138:AG138"/>
    <mergeCell ref="A136:D136"/>
    <mergeCell ref="R136:U136"/>
    <mergeCell ref="A138:C138"/>
    <mergeCell ref="D138:F138"/>
    <mergeCell ref="G138:I138"/>
    <mergeCell ref="J138:L138"/>
    <mergeCell ref="M138:O138"/>
    <mergeCell ref="P138:R138"/>
    <mergeCell ref="A139:A140"/>
    <mergeCell ref="B139:B140"/>
    <mergeCell ref="C139:C140"/>
    <mergeCell ref="D139:D140"/>
    <mergeCell ref="V138:X138"/>
    <mergeCell ref="Y138:AA138"/>
    <mergeCell ref="S138:U138"/>
    <mergeCell ref="I139:I140"/>
    <mergeCell ref="J139:J140"/>
    <mergeCell ref="K139:K140"/>
    <mergeCell ref="L139:L140"/>
    <mergeCell ref="E139:E140"/>
    <mergeCell ref="F139:F140"/>
    <mergeCell ref="G139:G140"/>
    <mergeCell ref="H139:H140"/>
    <mergeCell ref="Q139:Q140"/>
    <mergeCell ref="R139:R140"/>
    <mergeCell ref="AA139:AA140"/>
    <mergeCell ref="AB139:AB140"/>
    <mergeCell ref="M139:M140"/>
    <mergeCell ref="N139:N140"/>
    <mergeCell ref="O139:O140"/>
    <mergeCell ref="P139:P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E147:L148"/>
    <mergeCell ref="N147:Q148"/>
    <mergeCell ref="V147:AC148"/>
    <mergeCell ref="AE147:AG148"/>
    <mergeCell ref="AE139:AE140"/>
    <mergeCell ref="AF139:AF140"/>
    <mergeCell ref="AG139:AG140"/>
    <mergeCell ref="K142:R143"/>
    <mergeCell ref="Y139:Y140"/>
    <mergeCell ref="Z139:Z140"/>
    <mergeCell ref="AB150:AD150"/>
    <mergeCell ref="AE150:AG150"/>
    <mergeCell ref="A148:D148"/>
    <mergeCell ref="R148:U148"/>
    <mergeCell ref="A150:C150"/>
    <mergeCell ref="D150:F150"/>
    <mergeCell ref="G150:I150"/>
    <mergeCell ref="J150:L150"/>
    <mergeCell ref="M150:O150"/>
    <mergeCell ref="P150:R150"/>
    <mergeCell ref="A151:A152"/>
    <mergeCell ref="B151:B152"/>
    <mergeCell ref="C151:C152"/>
    <mergeCell ref="D151:D152"/>
    <mergeCell ref="V150:X150"/>
    <mergeCell ref="Y150:AA150"/>
    <mergeCell ref="S150:U150"/>
    <mergeCell ref="I151:I152"/>
    <mergeCell ref="J151:J152"/>
    <mergeCell ref="K151:K152"/>
    <mergeCell ref="L151:L152"/>
    <mergeCell ref="E151:E152"/>
    <mergeCell ref="F151:F152"/>
    <mergeCell ref="G151:G152"/>
    <mergeCell ref="H151:H152"/>
    <mergeCell ref="Q151:Q152"/>
    <mergeCell ref="R151:R152"/>
    <mergeCell ref="AB151:AB152"/>
    <mergeCell ref="AC151:AC152"/>
    <mergeCell ref="M151:M152"/>
    <mergeCell ref="N151:N152"/>
    <mergeCell ref="O151:O152"/>
    <mergeCell ref="P151:P152"/>
    <mergeCell ref="AD151:AD152"/>
    <mergeCell ref="S151:S152"/>
    <mergeCell ref="T151:T152"/>
    <mergeCell ref="U151:U152"/>
    <mergeCell ref="V151:V152"/>
    <mergeCell ref="W151:W152"/>
    <mergeCell ref="X151:X152"/>
    <mergeCell ref="AE151:AE152"/>
    <mergeCell ref="AF151:AF152"/>
    <mergeCell ref="AG151:AG152"/>
    <mergeCell ref="E159:L160"/>
    <mergeCell ref="N159:Q160"/>
    <mergeCell ref="V159:AC160"/>
    <mergeCell ref="AE159:AG160"/>
    <mergeCell ref="Y151:Y152"/>
    <mergeCell ref="Z151:Z152"/>
    <mergeCell ref="AA151:AA152"/>
    <mergeCell ref="AB162:AD162"/>
    <mergeCell ref="AE162:AG162"/>
    <mergeCell ref="A160:D160"/>
    <mergeCell ref="R160:U160"/>
    <mergeCell ref="A162:C162"/>
    <mergeCell ref="D162:F162"/>
    <mergeCell ref="G162:I162"/>
    <mergeCell ref="J162:L162"/>
    <mergeCell ref="M162:O162"/>
    <mergeCell ref="P162:R162"/>
    <mergeCell ref="A163:A164"/>
    <mergeCell ref="B163:B164"/>
    <mergeCell ref="C163:C164"/>
    <mergeCell ref="D163:D164"/>
    <mergeCell ref="V162:X162"/>
    <mergeCell ref="Y162:AA162"/>
    <mergeCell ref="S162:U162"/>
    <mergeCell ref="I163:I164"/>
    <mergeCell ref="J163:J164"/>
    <mergeCell ref="K163:K164"/>
    <mergeCell ref="L163:L164"/>
    <mergeCell ref="E163:E164"/>
    <mergeCell ref="F163:F164"/>
    <mergeCell ref="G163:G164"/>
    <mergeCell ref="H163:H164"/>
    <mergeCell ref="Q163:Q164"/>
    <mergeCell ref="R163:R164"/>
    <mergeCell ref="AA163:AA164"/>
    <mergeCell ref="AB163:AB164"/>
    <mergeCell ref="M163:M164"/>
    <mergeCell ref="N163:N164"/>
    <mergeCell ref="O163:O164"/>
    <mergeCell ref="P163:P164"/>
    <mergeCell ref="AC163:AC164"/>
    <mergeCell ref="AD163:AD164"/>
    <mergeCell ref="S163:S164"/>
    <mergeCell ref="T163:T164"/>
    <mergeCell ref="U163:U164"/>
    <mergeCell ref="V163:V164"/>
    <mergeCell ref="W163:W164"/>
    <mergeCell ref="X163:X164"/>
    <mergeCell ref="E171:L172"/>
    <mergeCell ref="N171:Q172"/>
    <mergeCell ref="V171:AC172"/>
    <mergeCell ref="AE171:AG172"/>
    <mergeCell ref="AE163:AE164"/>
    <mergeCell ref="AF163:AF164"/>
    <mergeCell ref="AG163:AG164"/>
    <mergeCell ref="K166:R167"/>
    <mergeCell ref="Y163:Y164"/>
    <mergeCell ref="Z163:Z164"/>
    <mergeCell ref="AB174:AD174"/>
    <mergeCell ref="AE174:AG174"/>
    <mergeCell ref="A172:D172"/>
    <mergeCell ref="R172:U172"/>
    <mergeCell ref="A174:C174"/>
    <mergeCell ref="D174:F174"/>
    <mergeCell ref="G174:I174"/>
    <mergeCell ref="J174:L174"/>
    <mergeCell ref="M174:O174"/>
    <mergeCell ref="P174:R174"/>
    <mergeCell ref="A175:A176"/>
    <mergeCell ref="B175:B176"/>
    <mergeCell ref="C175:C176"/>
    <mergeCell ref="D175:D176"/>
    <mergeCell ref="V174:X174"/>
    <mergeCell ref="Y174:AA174"/>
    <mergeCell ref="S174:U174"/>
    <mergeCell ref="I175:I176"/>
    <mergeCell ref="J175:J176"/>
    <mergeCell ref="K175:K176"/>
    <mergeCell ref="L175:L176"/>
    <mergeCell ref="E175:E176"/>
    <mergeCell ref="F175:F176"/>
    <mergeCell ref="G175:G176"/>
    <mergeCell ref="H175:H176"/>
    <mergeCell ref="Q175:Q176"/>
    <mergeCell ref="R175:R176"/>
    <mergeCell ref="AA175:AA176"/>
    <mergeCell ref="AB175:AB176"/>
    <mergeCell ref="M175:M176"/>
    <mergeCell ref="N175:N176"/>
    <mergeCell ref="O175:O176"/>
    <mergeCell ref="P175:P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E183:L184"/>
    <mergeCell ref="N183:Q184"/>
    <mergeCell ref="V183:AC184"/>
    <mergeCell ref="AE183:AG184"/>
    <mergeCell ref="AE175:AE176"/>
    <mergeCell ref="AF175:AF176"/>
    <mergeCell ref="AG175:AG176"/>
    <mergeCell ref="K178:R179"/>
    <mergeCell ref="Y175:Y176"/>
    <mergeCell ref="Z175:Z176"/>
    <mergeCell ref="AB186:AD186"/>
    <mergeCell ref="AE186:AG186"/>
    <mergeCell ref="A184:D184"/>
    <mergeCell ref="R184:U184"/>
    <mergeCell ref="A186:C186"/>
    <mergeCell ref="D186:F186"/>
    <mergeCell ref="G186:I186"/>
    <mergeCell ref="J186:L186"/>
    <mergeCell ref="M186:O186"/>
    <mergeCell ref="P186:R186"/>
    <mergeCell ref="A187:A188"/>
    <mergeCell ref="B187:B188"/>
    <mergeCell ref="C187:C188"/>
    <mergeCell ref="D187:D188"/>
    <mergeCell ref="V186:X186"/>
    <mergeCell ref="Y186:AA186"/>
    <mergeCell ref="S186:U186"/>
    <mergeCell ref="I187:I188"/>
    <mergeCell ref="J187:J188"/>
    <mergeCell ref="K187:K188"/>
    <mergeCell ref="L187:L188"/>
    <mergeCell ref="E187:E188"/>
    <mergeCell ref="F187:F188"/>
    <mergeCell ref="G187:G188"/>
    <mergeCell ref="H187:H188"/>
    <mergeCell ref="Q187:Q188"/>
    <mergeCell ref="R187:R188"/>
    <mergeCell ref="AA187:AA188"/>
    <mergeCell ref="AB187:AB188"/>
    <mergeCell ref="M187:M188"/>
    <mergeCell ref="N187:N188"/>
    <mergeCell ref="O187:O188"/>
    <mergeCell ref="P187:P188"/>
    <mergeCell ref="AC187:AC188"/>
    <mergeCell ref="AD187:AD188"/>
    <mergeCell ref="S187:S188"/>
    <mergeCell ref="T187:T188"/>
    <mergeCell ref="U187:U188"/>
    <mergeCell ref="V187:V188"/>
    <mergeCell ref="W187:W188"/>
    <mergeCell ref="X187:X188"/>
    <mergeCell ref="E195:L196"/>
    <mergeCell ref="N195:Q196"/>
    <mergeCell ref="V195:AC196"/>
    <mergeCell ref="AE195:AG196"/>
    <mergeCell ref="AE187:AE188"/>
    <mergeCell ref="AF187:AF188"/>
    <mergeCell ref="AG187:AG188"/>
    <mergeCell ref="K190:R191"/>
    <mergeCell ref="Y187:Y188"/>
    <mergeCell ref="Z187:Z188"/>
    <mergeCell ref="AB198:AD198"/>
    <mergeCell ref="AE198:AG198"/>
    <mergeCell ref="A196:D196"/>
    <mergeCell ref="R196:U196"/>
    <mergeCell ref="A198:C198"/>
    <mergeCell ref="D198:F198"/>
    <mergeCell ref="G198:I198"/>
    <mergeCell ref="J198:L198"/>
    <mergeCell ref="M198:O198"/>
    <mergeCell ref="P198:R198"/>
    <mergeCell ref="A199:A200"/>
    <mergeCell ref="B199:B200"/>
    <mergeCell ref="C199:C200"/>
    <mergeCell ref="D199:D200"/>
    <mergeCell ref="V198:X198"/>
    <mergeCell ref="Y198:AA198"/>
    <mergeCell ref="S198:U198"/>
    <mergeCell ref="I199:I200"/>
    <mergeCell ref="J199:J200"/>
    <mergeCell ref="K199:K200"/>
    <mergeCell ref="L199:L200"/>
    <mergeCell ref="E199:E200"/>
    <mergeCell ref="F199:F200"/>
    <mergeCell ref="G199:G200"/>
    <mergeCell ref="H199:H200"/>
    <mergeCell ref="Q199:Q200"/>
    <mergeCell ref="R199:R200"/>
    <mergeCell ref="AA199:AA200"/>
    <mergeCell ref="AB199:AB200"/>
    <mergeCell ref="M199:M200"/>
    <mergeCell ref="N199:N200"/>
    <mergeCell ref="O199:O200"/>
    <mergeCell ref="P199:P200"/>
    <mergeCell ref="AC199:AC200"/>
    <mergeCell ref="AD199:AD200"/>
    <mergeCell ref="S199:S200"/>
    <mergeCell ref="T199:T200"/>
    <mergeCell ref="U199:U200"/>
    <mergeCell ref="V199:V200"/>
    <mergeCell ref="W199:W200"/>
    <mergeCell ref="X199:X200"/>
    <mergeCell ref="E207:L208"/>
    <mergeCell ref="N207:Q208"/>
    <mergeCell ref="V207:AC208"/>
    <mergeCell ref="AE207:AG208"/>
    <mergeCell ref="AE199:AE200"/>
    <mergeCell ref="AF199:AF200"/>
    <mergeCell ref="AG199:AG200"/>
    <mergeCell ref="K202:R203"/>
    <mergeCell ref="Y199:Y200"/>
    <mergeCell ref="Z199:Z200"/>
    <mergeCell ref="AB210:AD210"/>
    <mergeCell ref="AE210:AG210"/>
    <mergeCell ref="A208:D208"/>
    <mergeCell ref="R208:U208"/>
    <mergeCell ref="A210:C210"/>
    <mergeCell ref="D210:F210"/>
    <mergeCell ref="G210:I210"/>
    <mergeCell ref="J210:L210"/>
    <mergeCell ref="M210:O210"/>
    <mergeCell ref="P210:R210"/>
    <mergeCell ref="A211:A212"/>
    <mergeCell ref="B211:B212"/>
    <mergeCell ref="C211:C212"/>
    <mergeCell ref="D211:D212"/>
    <mergeCell ref="V210:X210"/>
    <mergeCell ref="Y210:AA210"/>
    <mergeCell ref="S210:U210"/>
    <mergeCell ref="I211:I212"/>
    <mergeCell ref="J211:J212"/>
    <mergeCell ref="K211:K212"/>
    <mergeCell ref="L211:L212"/>
    <mergeCell ref="E211:E212"/>
    <mergeCell ref="F211:F212"/>
    <mergeCell ref="G211:G212"/>
    <mergeCell ref="H211:H212"/>
    <mergeCell ref="Q211:Q212"/>
    <mergeCell ref="R211:R212"/>
    <mergeCell ref="AA211:AA212"/>
    <mergeCell ref="AB211:AB212"/>
    <mergeCell ref="M211:M212"/>
    <mergeCell ref="N211:N212"/>
    <mergeCell ref="O211:O212"/>
    <mergeCell ref="P211:P212"/>
    <mergeCell ref="AC211:AC212"/>
    <mergeCell ref="AD211:AD212"/>
    <mergeCell ref="S211:S212"/>
    <mergeCell ref="T211:T212"/>
    <mergeCell ref="U211:U212"/>
    <mergeCell ref="V211:V212"/>
    <mergeCell ref="W211:W212"/>
    <mergeCell ref="X211:X212"/>
    <mergeCell ref="E219:L220"/>
    <mergeCell ref="N219:Q220"/>
    <mergeCell ref="V219:AC220"/>
    <mergeCell ref="AE219:AG220"/>
    <mergeCell ref="AE211:AE212"/>
    <mergeCell ref="AF211:AF212"/>
    <mergeCell ref="AG211:AG212"/>
    <mergeCell ref="K214:R215"/>
    <mergeCell ref="Y211:Y212"/>
    <mergeCell ref="Z211:Z212"/>
    <mergeCell ref="AB222:AD222"/>
    <mergeCell ref="AE222:AG222"/>
    <mergeCell ref="A220:D220"/>
    <mergeCell ref="R220:U220"/>
    <mergeCell ref="A222:C222"/>
    <mergeCell ref="D222:F222"/>
    <mergeCell ref="G222:I222"/>
    <mergeCell ref="J222:L222"/>
    <mergeCell ref="M222:O222"/>
    <mergeCell ref="P222:R222"/>
    <mergeCell ref="A223:A224"/>
    <mergeCell ref="B223:B224"/>
    <mergeCell ref="C223:C224"/>
    <mergeCell ref="D223:D224"/>
    <mergeCell ref="V222:X222"/>
    <mergeCell ref="Y222:AA222"/>
    <mergeCell ref="S222:U222"/>
    <mergeCell ref="I223:I224"/>
    <mergeCell ref="J223:J224"/>
    <mergeCell ref="K223:K224"/>
    <mergeCell ref="L223:L224"/>
    <mergeCell ref="E223:E224"/>
    <mergeCell ref="F223:F224"/>
    <mergeCell ref="G223:G224"/>
    <mergeCell ref="H223:H224"/>
    <mergeCell ref="Q223:Q224"/>
    <mergeCell ref="R223:R224"/>
    <mergeCell ref="AA223:AA224"/>
    <mergeCell ref="AB223:AB224"/>
    <mergeCell ref="M223:M224"/>
    <mergeCell ref="N223:N224"/>
    <mergeCell ref="O223:O224"/>
    <mergeCell ref="P223:P224"/>
    <mergeCell ref="AC223:AC224"/>
    <mergeCell ref="AD223:AD224"/>
    <mergeCell ref="S223:S224"/>
    <mergeCell ref="T223:T224"/>
    <mergeCell ref="U223:U224"/>
    <mergeCell ref="V223:V224"/>
    <mergeCell ref="W223:W224"/>
    <mergeCell ref="X223:X224"/>
    <mergeCell ref="E231:L232"/>
    <mergeCell ref="N231:Q232"/>
    <mergeCell ref="V231:AC232"/>
    <mergeCell ref="AE231:AG232"/>
    <mergeCell ref="AE223:AE224"/>
    <mergeCell ref="AF223:AF224"/>
    <mergeCell ref="AG223:AG224"/>
    <mergeCell ref="K226:R227"/>
    <mergeCell ref="Y223:Y224"/>
    <mergeCell ref="Z223:Z224"/>
    <mergeCell ref="AB234:AD234"/>
    <mergeCell ref="AE234:AG234"/>
    <mergeCell ref="A232:D232"/>
    <mergeCell ref="R232:U232"/>
    <mergeCell ref="A234:C234"/>
    <mergeCell ref="D234:F234"/>
    <mergeCell ref="G234:I234"/>
    <mergeCell ref="J234:L234"/>
    <mergeCell ref="M234:O234"/>
    <mergeCell ref="P234:R234"/>
    <mergeCell ref="A235:A236"/>
    <mergeCell ref="B235:B236"/>
    <mergeCell ref="C235:C236"/>
    <mergeCell ref="D235:D236"/>
    <mergeCell ref="V234:X234"/>
    <mergeCell ref="Y234:AA234"/>
    <mergeCell ref="S234:U234"/>
    <mergeCell ref="I235:I236"/>
    <mergeCell ref="J235:J236"/>
    <mergeCell ref="K235:K236"/>
    <mergeCell ref="L235:L236"/>
    <mergeCell ref="E235:E236"/>
    <mergeCell ref="F235:F236"/>
    <mergeCell ref="G235:G236"/>
    <mergeCell ref="H235:H236"/>
    <mergeCell ref="Q235:Q236"/>
    <mergeCell ref="R235:R236"/>
    <mergeCell ref="AA235:AA236"/>
    <mergeCell ref="AB235:AB236"/>
    <mergeCell ref="M235:M236"/>
    <mergeCell ref="N235:N236"/>
    <mergeCell ref="O235:O236"/>
    <mergeCell ref="P235:P236"/>
    <mergeCell ref="AC235:AC236"/>
    <mergeCell ref="AD235:AD236"/>
    <mergeCell ref="S235:S236"/>
    <mergeCell ref="T235:T236"/>
    <mergeCell ref="U235:U236"/>
    <mergeCell ref="V235:V236"/>
    <mergeCell ref="W235:W236"/>
    <mergeCell ref="X235:X236"/>
    <mergeCell ref="E243:L244"/>
    <mergeCell ref="N243:Q244"/>
    <mergeCell ref="V243:AC244"/>
    <mergeCell ref="AE243:AG244"/>
    <mergeCell ref="AE235:AE236"/>
    <mergeCell ref="AF235:AF236"/>
    <mergeCell ref="AG235:AG236"/>
    <mergeCell ref="K238:R239"/>
    <mergeCell ref="Y235:Y236"/>
    <mergeCell ref="Z235:Z236"/>
    <mergeCell ref="AB246:AD246"/>
    <mergeCell ref="AE246:AG246"/>
    <mergeCell ref="A244:D244"/>
    <mergeCell ref="R244:U244"/>
    <mergeCell ref="A246:C246"/>
    <mergeCell ref="D246:F246"/>
    <mergeCell ref="G246:I246"/>
    <mergeCell ref="J246:L246"/>
    <mergeCell ref="M246:O246"/>
    <mergeCell ref="P246:R246"/>
    <mergeCell ref="A247:A248"/>
    <mergeCell ref="B247:B248"/>
    <mergeCell ref="C247:C248"/>
    <mergeCell ref="D247:D248"/>
    <mergeCell ref="V246:X246"/>
    <mergeCell ref="Y246:AA246"/>
    <mergeCell ref="S246:U246"/>
    <mergeCell ref="I247:I248"/>
    <mergeCell ref="J247:J248"/>
    <mergeCell ref="K247:K248"/>
    <mergeCell ref="L247:L248"/>
    <mergeCell ref="E247:E248"/>
    <mergeCell ref="F247:F248"/>
    <mergeCell ref="G247:G248"/>
    <mergeCell ref="H247:H248"/>
    <mergeCell ref="Q247:Q248"/>
    <mergeCell ref="R247:R248"/>
    <mergeCell ref="AB247:AB248"/>
    <mergeCell ref="AC247:AC248"/>
    <mergeCell ref="M247:M248"/>
    <mergeCell ref="N247:N248"/>
    <mergeCell ref="O247:O248"/>
    <mergeCell ref="P247:P248"/>
    <mergeCell ref="AD247:AD248"/>
    <mergeCell ref="S247:S248"/>
    <mergeCell ref="T247:T248"/>
    <mergeCell ref="U247:U248"/>
    <mergeCell ref="V247:V248"/>
    <mergeCell ref="W247:W248"/>
    <mergeCell ref="X247:X248"/>
    <mergeCell ref="AE247:AE248"/>
    <mergeCell ref="AF247:AF248"/>
    <mergeCell ref="AG247:AG248"/>
    <mergeCell ref="E255:L256"/>
    <mergeCell ref="N255:Q256"/>
    <mergeCell ref="V255:AC256"/>
    <mergeCell ref="AE255:AG256"/>
    <mergeCell ref="Y247:Y248"/>
    <mergeCell ref="Z247:Z248"/>
    <mergeCell ref="AA247:AA248"/>
    <mergeCell ref="AB258:AD258"/>
    <mergeCell ref="AE258:AG258"/>
    <mergeCell ref="A256:D256"/>
    <mergeCell ref="R256:U256"/>
    <mergeCell ref="A258:C258"/>
    <mergeCell ref="D258:F258"/>
    <mergeCell ref="G258:I258"/>
    <mergeCell ref="J258:L258"/>
    <mergeCell ref="M258:O258"/>
    <mergeCell ref="P258:R258"/>
    <mergeCell ref="A259:A260"/>
    <mergeCell ref="B259:B260"/>
    <mergeCell ref="C259:C260"/>
    <mergeCell ref="D259:D260"/>
    <mergeCell ref="V258:X258"/>
    <mergeCell ref="Y258:AA258"/>
    <mergeCell ref="S258:U258"/>
    <mergeCell ref="I259:I260"/>
    <mergeCell ref="J259:J260"/>
    <mergeCell ref="K259:K260"/>
    <mergeCell ref="L259:L260"/>
    <mergeCell ref="E259:E260"/>
    <mergeCell ref="F259:F260"/>
    <mergeCell ref="G259:G260"/>
    <mergeCell ref="H259:H260"/>
    <mergeCell ref="Q259:Q260"/>
    <mergeCell ref="R259:R260"/>
    <mergeCell ref="AA259:AA260"/>
    <mergeCell ref="AB259:AB260"/>
    <mergeCell ref="M259:M260"/>
    <mergeCell ref="N259:N260"/>
    <mergeCell ref="O259:O260"/>
    <mergeCell ref="P259:P260"/>
    <mergeCell ref="AC259:AC260"/>
    <mergeCell ref="AD259:AD260"/>
    <mergeCell ref="S259:S260"/>
    <mergeCell ref="T259:T260"/>
    <mergeCell ref="U259:U260"/>
    <mergeCell ref="V259:V260"/>
    <mergeCell ref="W259:W260"/>
    <mergeCell ref="X259:X260"/>
    <mergeCell ref="E267:L268"/>
    <mergeCell ref="N267:Q268"/>
    <mergeCell ref="V267:AC268"/>
    <mergeCell ref="AE267:AG268"/>
    <mergeCell ref="AE259:AE260"/>
    <mergeCell ref="AF259:AF260"/>
    <mergeCell ref="AG259:AG260"/>
    <mergeCell ref="K262:R263"/>
    <mergeCell ref="Y259:Y260"/>
    <mergeCell ref="Z259:Z260"/>
    <mergeCell ref="AB270:AD270"/>
    <mergeCell ref="AE270:AG270"/>
    <mergeCell ref="A268:D268"/>
    <mergeCell ref="R268:U268"/>
    <mergeCell ref="A270:C270"/>
    <mergeCell ref="D270:F270"/>
    <mergeCell ref="G270:I270"/>
    <mergeCell ref="J270:L270"/>
    <mergeCell ref="M270:O270"/>
    <mergeCell ref="P270:R270"/>
    <mergeCell ref="A271:A272"/>
    <mergeCell ref="B271:B272"/>
    <mergeCell ref="C271:C272"/>
    <mergeCell ref="D271:D272"/>
    <mergeCell ref="V270:X270"/>
    <mergeCell ref="Y270:AA270"/>
    <mergeCell ref="S270:U270"/>
    <mergeCell ref="I271:I272"/>
    <mergeCell ref="J271:J272"/>
    <mergeCell ref="K271:K272"/>
    <mergeCell ref="L271:L272"/>
    <mergeCell ref="E271:E272"/>
    <mergeCell ref="F271:F272"/>
    <mergeCell ref="G271:G272"/>
    <mergeCell ref="H271:H272"/>
    <mergeCell ref="Q271:Q272"/>
    <mergeCell ref="R271:R272"/>
    <mergeCell ref="AA271:AA272"/>
    <mergeCell ref="AB271:AB272"/>
    <mergeCell ref="M271:M272"/>
    <mergeCell ref="N271:N272"/>
    <mergeCell ref="O271:O272"/>
    <mergeCell ref="P271:P272"/>
    <mergeCell ref="AC271:AC272"/>
    <mergeCell ref="AD271:AD272"/>
    <mergeCell ref="S271:S272"/>
    <mergeCell ref="T271:T272"/>
    <mergeCell ref="U271:U272"/>
    <mergeCell ref="V271:V272"/>
    <mergeCell ref="W271:W272"/>
    <mergeCell ref="X271:X272"/>
    <mergeCell ref="E279:L280"/>
    <mergeCell ref="N279:Q280"/>
    <mergeCell ref="V279:AC280"/>
    <mergeCell ref="AE279:AG280"/>
    <mergeCell ref="AE271:AE272"/>
    <mergeCell ref="AF271:AF272"/>
    <mergeCell ref="AG271:AG272"/>
    <mergeCell ref="K274:R275"/>
    <mergeCell ref="Y271:Y272"/>
    <mergeCell ref="Z271:Z272"/>
    <mergeCell ref="AB282:AD282"/>
    <mergeCell ref="AE282:AG282"/>
    <mergeCell ref="A280:D280"/>
    <mergeCell ref="R280:U280"/>
    <mergeCell ref="A282:C282"/>
    <mergeCell ref="D282:F282"/>
    <mergeCell ref="G282:I282"/>
    <mergeCell ref="J282:L282"/>
    <mergeCell ref="M282:O282"/>
    <mergeCell ref="P282:R282"/>
    <mergeCell ref="A283:A284"/>
    <mergeCell ref="B283:B284"/>
    <mergeCell ref="C283:C284"/>
    <mergeCell ref="D283:D284"/>
    <mergeCell ref="V282:X282"/>
    <mergeCell ref="Y282:AA282"/>
    <mergeCell ref="S282:U282"/>
    <mergeCell ref="I283:I284"/>
    <mergeCell ref="J283:J284"/>
    <mergeCell ref="K283:K284"/>
    <mergeCell ref="L283:L284"/>
    <mergeCell ref="E283:E284"/>
    <mergeCell ref="F283:F284"/>
    <mergeCell ref="G283:G284"/>
    <mergeCell ref="H283:H284"/>
    <mergeCell ref="Q283:Q284"/>
    <mergeCell ref="R283:R284"/>
    <mergeCell ref="AA283:AA284"/>
    <mergeCell ref="AB283:AB284"/>
    <mergeCell ref="M283:M284"/>
    <mergeCell ref="N283:N284"/>
    <mergeCell ref="O283:O284"/>
    <mergeCell ref="P283:P284"/>
    <mergeCell ref="AC283:AC284"/>
    <mergeCell ref="AD283:AD284"/>
    <mergeCell ref="S283:S284"/>
    <mergeCell ref="T283:T284"/>
    <mergeCell ref="U283:U284"/>
    <mergeCell ref="V283:V284"/>
    <mergeCell ref="W283:W284"/>
    <mergeCell ref="X283:X284"/>
    <mergeCell ref="E291:L292"/>
    <mergeCell ref="N291:Q292"/>
    <mergeCell ref="V291:AC292"/>
    <mergeCell ref="AE291:AG292"/>
    <mergeCell ref="AE283:AE284"/>
    <mergeCell ref="AF283:AF284"/>
    <mergeCell ref="AG283:AG284"/>
    <mergeCell ref="K286:R287"/>
    <mergeCell ref="Y283:Y284"/>
    <mergeCell ref="Z283:Z284"/>
    <mergeCell ref="AB294:AD294"/>
    <mergeCell ref="AE294:AG294"/>
    <mergeCell ref="A292:D292"/>
    <mergeCell ref="R292:U292"/>
    <mergeCell ref="A294:C294"/>
    <mergeCell ref="D294:F294"/>
    <mergeCell ref="G294:I294"/>
    <mergeCell ref="J294:L294"/>
    <mergeCell ref="M294:O294"/>
    <mergeCell ref="P294:R294"/>
    <mergeCell ref="A295:A296"/>
    <mergeCell ref="B295:B296"/>
    <mergeCell ref="C295:C296"/>
    <mergeCell ref="D295:D296"/>
    <mergeCell ref="V294:X294"/>
    <mergeCell ref="Y294:AA294"/>
    <mergeCell ref="S294:U294"/>
    <mergeCell ref="I295:I296"/>
    <mergeCell ref="J295:J296"/>
    <mergeCell ref="K295:K296"/>
    <mergeCell ref="L295:L296"/>
    <mergeCell ref="E295:E296"/>
    <mergeCell ref="F295:F296"/>
    <mergeCell ref="G295:G296"/>
    <mergeCell ref="H295:H296"/>
    <mergeCell ref="Q295:Q296"/>
    <mergeCell ref="R295:R296"/>
    <mergeCell ref="AA295:AA296"/>
    <mergeCell ref="AB295:AB296"/>
    <mergeCell ref="M295:M296"/>
    <mergeCell ref="N295:N296"/>
    <mergeCell ref="O295:O296"/>
    <mergeCell ref="P295:P296"/>
    <mergeCell ref="AC295:AC296"/>
    <mergeCell ref="AD295:AD296"/>
    <mergeCell ref="S295:S296"/>
    <mergeCell ref="T295:T296"/>
    <mergeCell ref="U295:U296"/>
    <mergeCell ref="V295:V296"/>
    <mergeCell ref="W295:W296"/>
    <mergeCell ref="X295:X296"/>
    <mergeCell ref="E303:L304"/>
    <mergeCell ref="N303:Q304"/>
    <mergeCell ref="V303:AC304"/>
    <mergeCell ref="AE303:AG304"/>
    <mergeCell ref="AE295:AE296"/>
    <mergeCell ref="AF295:AF296"/>
    <mergeCell ref="AG295:AG296"/>
    <mergeCell ref="K298:R299"/>
    <mergeCell ref="Y295:Y296"/>
    <mergeCell ref="Z295:Z296"/>
    <mergeCell ref="AB306:AD306"/>
    <mergeCell ref="AE306:AG306"/>
    <mergeCell ref="A304:D304"/>
    <mergeCell ref="R304:U304"/>
    <mergeCell ref="A306:C306"/>
    <mergeCell ref="D306:F306"/>
    <mergeCell ref="G306:I306"/>
    <mergeCell ref="J306:L306"/>
    <mergeCell ref="M306:O306"/>
    <mergeCell ref="P306:R306"/>
    <mergeCell ref="A307:A308"/>
    <mergeCell ref="B307:B308"/>
    <mergeCell ref="C307:C308"/>
    <mergeCell ref="D307:D308"/>
    <mergeCell ref="V306:X306"/>
    <mergeCell ref="Y306:AA306"/>
    <mergeCell ref="S306:U306"/>
    <mergeCell ref="I307:I308"/>
    <mergeCell ref="J307:J308"/>
    <mergeCell ref="K307:K308"/>
    <mergeCell ref="L307:L308"/>
    <mergeCell ref="E307:E308"/>
    <mergeCell ref="F307:F308"/>
    <mergeCell ref="G307:G308"/>
    <mergeCell ref="H307:H308"/>
    <mergeCell ref="Q307:Q308"/>
    <mergeCell ref="R307:R308"/>
    <mergeCell ref="AA307:AA308"/>
    <mergeCell ref="AB307:AB308"/>
    <mergeCell ref="M307:M308"/>
    <mergeCell ref="N307:N308"/>
    <mergeCell ref="O307:O308"/>
    <mergeCell ref="P307:P308"/>
    <mergeCell ref="AC307:AC308"/>
    <mergeCell ref="AD307:AD308"/>
    <mergeCell ref="S307:S308"/>
    <mergeCell ref="T307:T308"/>
    <mergeCell ref="U307:U308"/>
    <mergeCell ref="V307:V308"/>
    <mergeCell ref="W307:W308"/>
    <mergeCell ref="X307:X308"/>
    <mergeCell ref="E315:L316"/>
    <mergeCell ref="N315:Q316"/>
    <mergeCell ref="V315:AC316"/>
    <mergeCell ref="AE315:AG316"/>
    <mergeCell ref="AE307:AE308"/>
    <mergeCell ref="AF307:AF308"/>
    <mergeCell ref="AG307:AG308"/>
    <mergeCell ref="K310:R311"/>
    <mergeCell ref="Y307:Y308"/>
    <mergeCell ref="Z307:Z308"/>
    <mergeCell ref="AB318:AD318"/>
    <mergeCell ref="AE318:AG318"/>
    <mergeCell ref="A316:D316"/>
    <mergeCell ref="R316:U316"/>
    <mergeCell ref="A318:C318"/>
    <mergeCell ref="D318:F318"/>
    <mergeCell ref="G318:I318"/>
    <mergeCell ref="J318:L318"/>
    <mergeCell ref="M318:O318"/>
    <mergeCell ref="P318:R318"/>
    <mergeCell ref="A319:A320"/>
    <mergeCell ref="B319:B320"/>
    <mergeCell ref="C319:C320"/>
    <mergeCell ref="D319:D320"/>
    <mergeCell ref="V318:X318"/>
    <mergeCell ref="Y318:AA318"/>
    <mergeCell ref="S318:U318"/>
    <mergeCell ref="I319:I320"/>
    <mergeCell ref="J319:J320"/>
    <mergeCell ref="K319:K320"/>
    <mergeCell ref="L319:L320"/>
    <mergeCell ref="E319:E320"/>
    <mergeCell ref="F319:F320"/>
    <mergeCell ref="G319:G320"/>
    <mergeCell ref="H319:H320"/>
    <mergeCell ref="Q319:Q320"/>
    <mergeCell ref="R319:R320"/>
    <mergeCell ref="AA319:AA320"/>
    <mergeCell ref="AB319:AB320"/>
    <mergeCell ref="M319:M320"/>
    <mergeCell ref="N319:N320"/>
    <mergeCell ref="O319:O320"/>
    <mergeCell ref="P319:P320"/>
    <mergeCell ref="AC319:AC320"/>
    <mergeCell ref="AD319:AD320"/>
    <mergeCell ref="S319:S320"/>
    <mergeCell ref="T319:T320"/>
    <mergeCell ref="U319:U320"/>
    <mergeCell ref="V319:V320"/>
    <mergeCell ref="W319:W320"/>
    <mergeCell ref="X319:X320"/>
    <mergeCell ref="E327:L328"/>
    <mergeCell ref="N327:Q328"/>
    <mergeCell ref="V327:AC328"/>
    <mergeCell ref="AE327:AG328"/>
    <mergeCell ref="AE319:AE320"/>
    <mergeCell ref="AF319:AF320"/>
    <mergeCell ref="AG319:AG320"/>
    <mergeCell ref="K322:R323"/>
    <mergeCell ref="Y319:Y320"/>
    <mergeCell ref="Z319:Z320"/>
    <mergeCell ref="AB330:AD330"/>
    <mergeCell ref="AE330:AG330"/>
    <mergeCell ref="A328:D328"/>
    <mergeCell ref="R328:U328"/>
    <mergeCell ref="A330:C330"/>
    <mergeCell ref="D330:F330"/>
    <mergeCell ref="G330:I330"/>
    <mergeCell ref="J330:L330"/>
    <mergeCell ref="M330:O330"/>
    <mergeCell ref="P330:R330"/>
    <mergeCell ref="A331:A332"/>
    <mergeCell ref="B331:B332"/>
    <mergeCell ref="C331:C332"/>
    <mergeCell ref="D331:D332"/>
    <mergeCell ref="V330:X330"/>
    <mergeCell ref="Y330:AA330"/>
    <mergeCell ref="S330:U330"/>
    <mergeCell ref="I331:I332"/>
    <mergeCell ref="J331:J332"/>
    <mergeCell ref="K331:K332"/>
    <mergeCell ref="L331:L332"/>
    <mergeCell ref="E331:E332"/>
    <mergeCell ref="F331:F332"/>
    <mergeCell ref="G331:G332"/>
    <mergeCell ref="H331:H332"/>
    <mergeCell ref="AA331:AA332"/>
    <mergeCell ref="Q331:Q332"/>
    <mergeCell ref="R331:R332"/>
    <mergeCell ref="AB331:AB332"/>
    <mergeCell ref="M331:M332"/>
    <mergeCell ref="N331:N332"/>
    <mergeCell ref="O331:O332"/>
    <mergeCell ref="P331:P332"/>
    <mergeCell ref="T331:T332"/>
    <mergeCell ref="U331:U332"/>
    <mergeCell ref="V331:V332"/>
    <mergeCell ref="W331:W332"/>
    <mergeCell ref="X331:X332"/>
    <mergeCell ref="AE339:AG340"/>
    <mergeCell ref="AE331:AE332"/>
    <mergeCell ref="AF331:AF332"/>
    <mergeCell ref="AG331:AG332"/>
    <mergeCell ref="K334:R335"/>
    <mergeCell ref="Y331:Y332"/>
    <mergeCell ref="Z331:Z332"/>
    <mergeCell ref="AC331:AC332"/>
    <mergeCell ref="AD331:AD332"/>
    <mergeCell ref="S331:S332"/>
    <mergeCell ref="E339:L340"/>
    <mergeCell ref="N339:Q340"/>
    <mergeCell ref="V339:AC340"/>
    <mergeCell ref="V342:X342"/>
    <mergeCell ref="Y342:AA342"/>
    <mergeCell ref="AB342:AD342"/>
    <mergeCell ref="AE342:AG342"/>
    <mergeCell ref="A340:D340"/>
    <mergeCell ref="R340:U340"/>
    <mergeCell ref="A342:C342"/>
    <mergeCell ref="D342:F342"/>
    <mergeCell ref="G342:I342"/>
    <mergeCell ref="J342:L342"/>
    <mergeCell ref="M342:O342"/>
    <mergeCell ref="P342:R342"/>
    <mergeCell ref="S342:U342"/>
    <mergeCell ref="E343:E344"/>
    <mergeCell ref="F343:F344"/>
    <mergeCell ref="G343:G344"/>
    <mergeCell ref="H343:H344"/>
    <mergeCell ref="A343:A344"/>
    <mergeCell ref="B343:B344"/>
    <mergeCell ref="C343:C344"/>
    <mergeCell ref="D343:D344"/>
    <mergeCell ref="M343:M344"/>
    <mergeCell ref="N343:N344"/>
    <mergeCell ref="O343:O344"/>
    <mergeCell ref="P343:P344"/>
    <mergeCell ref="I343:I344"/>
    <mergeCell ref="J343:J344"/>
    <mergeCell ref="K343:K344"/>
    <mergeCell ref="L343:L344"/>
    <mergeCell ref="U343:U344"/>
    <mergeCell ref="V343:V344"/>
    <mergeCell ref="W343:W344"/>
    <mergeCell ref="X343:X344"/>
    <mergeCell ref="Q343:Q344"/>
    <mergeCell ref="R343:R344"/>
    <mergeCell ref="S343:S344"/>
    <mergeCell ref="T343:T344"/>
    <mergeCell ref="AE343:AE344"/>
    <mergeCell ref="AF343:AF344"/>
    <mergeCell ref="AG343:AG344"/>
    <mergeCell ref="Y343:Y344"/>
    <mergeCell ref="Z343:Z344"/>
    <mergeCell ref="AA343:AA344"/>
    <mergeCell ref="AB343:AB344"/>
    <mergeCell ref="AC343:AC344"/>
    <mergeCell ref="AD343:AD344"/>
  </mergeCells>
  <printOptions/>
  <pageMargins left="0.26" right="0.1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J230"/>
  <sheetViews>
    <sheetView zoomScalePageLayoutView="0" workbookViewId="0" topLeftCell="A55">
      <selection activeCell="D52" sqref="D52"/>
    </sheetView>
  </sheetViews>
  <sheetFormatPr defaultColWidth="9.140625" defaultRowHeight="12.75"/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5.5">
      <c r="A2" s="8"/>
      <c r="B2" s="8"/>
      <c r="C2" s="8"/>
      <c r="D2" s="8"/>
      <c r="E2" s="8"/>
      <c r="F2" s="193" t="s">
        <v>108</v>
      </c>
      <c r="G2" s="115"/>
      <c r="H2" s="115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69" t="str">
        <f>Ilmoittautuminen!A1</f>
        <v>Pyramidi RG1 Nevskaja, Kotka/KaKa</v>
      </c>
      <c r="B7" s="69"/>
      <c r="C7" s="69"/>
      <c r="D7" s="69"/>
      <c r="E7" s="69"/>
      <c r="F7" s="69"/>
      <c r="G7" s="68"/>
      <c r="H7" s="68"/>
      <c r="I7" s="8"/>
      <c r="J7" s="8"/>
    </row>
    <row r="8" spans="1:10" ht="12.75">
      <c r="A8" s="194" t="s">
        <v>109</v>
      </c>
      <c r="B8" s="194"/>
      <c r="C8" s="195" t="s">
        <v>110</v>
      </c>
      <c r="D8" s="195"/>
      <c r="E8" s="195"/>
      <c r="F8" s="8"/>
      <c r="G8" s="8"/>
      <c r="H8" s="8"/>
      <c r="I8" s="8"/>
      <c r="J8" s="8"/>
    </row>
    <row r="9" spans="1:10" ht="12.75">
      <c r="A9" s="8"/>
      <c r="B9" s="70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70"/>
      <c r="C10" s="8"/>
      <c r="D10" s="8"/>
      <c r="E10" s="8"/>
      <c r="F10" s="8"/>
      <c r="G10" s="8"/>
      <c r="H10" s="8"/>
      <c r="I10" s="8"/>
      <c r="J10" s="8"/>
    </row>
    <row r="11" spans="1:10" ht="18">
      <c r="A11" s="196" t="s">
        <v>111</v>
      </c>
      <c r="B11" s="196"/>
      <c r="C11" s="197" t="s">
        <v>123</v>
      </c>
      <c r="D11" s="197"/>
      <c r="E11" s="197"/>
      <c r="F11" s="8"/>
      <c r="G11" s="8"/>
      <c r="H11" s="8"/>
      <c r="I11" s="8"/>
      <c r="J11" s="8"/>
    </row>
    <row r="12" spans="1:10" ht="12.75">
      <c r="A12" s="8"/>
      <c r="B12" s="70"/>
      <c r="C12" s="8"/>
      <c r="D12" s="8"/>
      <c r="E12" s="8"/>
      <c r="F12" s="8"/>
      <c r="G12" s="8"/>
      <c r="H12" s="8"/>
      <c r="I12" s="8"/>
      <c r="J12" s="8"/>
    </row>
    <row r="13" spans="1:10" ht="18">
      <c r="A13" s="196" t="s">
        <v>112</v>
      </c>
      <c r="B13" s="196"/>
      <c r="C13" s="197" t="s">
        <v>113</v>
      </c>
      <c r="D13" s="197"/>
      <c r="E13" s="197"/>
      <c r="F13" s="8"/>
      <c r="G13" s="8"/>
      <c r="H13" s="8"/>
      <c r="I13" s="8"/>
      <c r="J13" s="8"/>
    </row>
    <row r="14" spans="1:10" ht="12.75">
      <c r="A14" s="8"/>
      <c r="B14" s="70"/>
      <c r="C14" s="8"/>
      <c r="D14" s="8"/>
      <c r="E14" s="8"/>
      <c r="F14" s="8"/>
      <c r="G14" s="8"/>
      <c r="H14" s="8"/>
      <c r="I14" s="8"/>
      <c r="J14" s="8"/>
    </row>
    <row r="15" spans="1:10" ht="23.25" customHeight="1">
      <c r="A15" s="196" t="s">
        <v>114</v>
      </c>
      <c r="B15" s="196"/>
      <c r="C15" s="198" t="s">
        <v>115</v>
      </c>
      <c r="D15" s="198"/>
      <c r="E15" s="198"/>
      <c r="F15" s="198"/>
      <c r="G15" s="198"/>
      <c r="H15" s="198"/>
      <c r="I15" s="198"/>
      <c r="J15" s="8"/>
    </row>
    <row r="16" spans="1:10" ht="23.25" customHeight="1">
      <c r="A16" s="71"/>
      <c r="B16" s="71"/>
      <c r="C16" s="198"/>
      <c r="D16" s="198"/>
      <c r="E16" s="198"/>
      <c r="F16" s="198"/>
      <c r="G16" s="198"/>
      <c r="H16" s="198"/>
      <c r="I16" s="198"/>
      <c r="J16" s="8"/>
    </row>
    <row r="17" spans="1:10" ht="23.25" customHeight="1">
      <c r="A17" s="71"/>
      <c r="B17" s="71"/>
      <c r="C17" s="198"/>
      <c r="D17" s="198"/>
      <c r="E17" s="198"/>
      <c r="F17" s="198"/>
      <c r="G17" s="198"/>
      <c r="H17" s="198"/>
      <c r="I17" s="198"/>
      <c r="J17" s="8"/>
    </row>
    <row r="18" spans="1:10" ht="12.75">
      <c r="A18" s="8"/>
      <c r="B18" s="70"/>
      <c r="C18" s="8"/>
      <c r="D18" s="8"/>
      <c r="E18" s="8"/>
      <c r="F18" s="8"/>
      <c r="G18" s="8"/>
      <c r="H18" s="8"/>
      <c r="I18" s="8"/>
      <c r="J18" s="8"/>
    </row>
    <row r="19" spans="1:10" ht="18">
      <c r="A19" s="191" t="s">
        <v>116</v>
      </c>
      <c r="B19" s="191"/>
      <c r="C19" s="199" t="s">
        <v>117</v>
      </c>
      <c r="D19" s="199"/>
      <c r="E19" s="199"/>
      <c r="F19" s="199"/>
      <c r="G19" s="199"/>
      <c r="H19" s="8"/>
      <c r="I19" s="8"/>
      <c r="J19" s="8"/>
    </row>
    <row r="20" spans="1:10" ht="12.75">
      <c r="A20" s="8"/>
      <c r="B20" s="70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70"/>
      <c r="C21" s="8"/>
      <c r="D21" s="8"/>
      <c r="E21" s="8"/>
      <c r="F21" s="8"/>
      <c r="G21" s="8"/>
      <c r="H21" s="8"/>
      <c r="I21" s="8"/>
      <c r="J21" s="8"/>
    </row>
    <row r="22" spans="1:10" ht="18">
      <c r="A22" s="8"/>
      <c r="B22" s="8"/>
      <c r="C22" s="72" t="s">
        <v>118</v>
      </c>
      <c r="D22" s="73">
        <v>40</v>
      </c>
      <c r="E22" s="8"/>
      <c r="F22" s="8"/>
      <c r="G22" s="8"/>
      <c r="H22" s="8"/>
      <c r="I22" s="8"/>
      <c r="J22" s="8"/>
    </row>
    <row r="23" spans="1:10" ht="12.75">
      <c r="A23" s="8"/>
      <c r="B23" s="70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70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70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8">
      <c r="A27" s="191" t="s">
        <v>119</v>
      </c>
      <c r="B27" s="191"/>
      <c r="C27" s="191"/>
      <c r="D27" s="191"/>
      <c r="E27" s="191"/>
      <c r="F27" s="8"/>
      <c r="G27" s="8"/>
      <c r="H27" s="8"/>
      <c r="I27" s="8"/>
      <c r="J27" s="8"/>
    </row>
    <row r="28" spans="1:10" ht="18">
      <c r="A28" s="191" t="s">
        <v>120</v>
      </c>
      <c r="B28" s="191"/>
      <c r="C28" s="191"/>
      <c r="D28" s="191"/>
      <c r="E28" s="191"/>
      <c r="F28" s="192"/>
      <c r="G28" s="192"/>
      <c r="H28" s="192"/>
      <c r="I28" s="192"/>
      <c r="J28" s="8"/>
    </row>
    <row r="29" spans="1:10" ht="18">
      <c r="A29" s="8"/>
      <c r="B29" s="8"/>
      <c r="C29" s="8"/>
      <c r="D29" s="8"/>
      <c r="E29" s="8"/>
      <c r="F29" s="200" t="s">
        <v>121</v>
      </c>
      <c r="G29" s="200"/>
      <c r="H29" s="200"/>
      <c r="I29" s="200"/>
      <c r="J29" s="8"/>
    </row>
    <row r="30" spans="1:10" ht="12.75">
      <c r="A30" s="8"/>
      <c r="B30" s="8"/>
      <c r="C30" s="8"/>
      <c r="D30" s="8"/>
      <c r="E30" s="8"/>
      <c r="F30" s="68"/>
      <c r="G30" s="68"/>
      <c r="H30" s="68"/>
      <c r="I30" s="6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25.5">
      <c r="A32" s="8"/>
      <c r="B32" s="8"/>
      <c r="C32" s="8"/>
      <c r="D32" s="8"/>
      <c r="E32" s="8"/>
      <c r="F32" s="193" t="s">
        <v>108</v>
      </c>
      <c r="G32" s="115"/>
      <c r="H32" s="115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26.25">
      <c r="A37" s="69" t="str">
        <f>$A$7</f>
        <v>Pyramidi RG1 Nevskaja, Kotka/KaKa</v>
      </c>
      <c r="B37" s="69"/>
      <c r="C37" s="69"/>
      <c r="D37" s="69"/>
      <c r="E37" s="69"/>
      <c r="F37" s="69"/>
      <c r="G37" s="68"/>
      <c r="H37" s="68"/>
      <c r="I37" s="8"/>
      <c r="J37" s="8"/>
    </row>
    <row r="38" spans="1:9" ht="12.75">
      <c r="A38" s="194" t="s">
        <v>109</v>
      </c>
      <c r="B38" s="194"/>
      <c r="C38" s="195" t="str">
        <f>$C$8</f>
        <v>Pyriksen pelaajat ry.</v>
      </c>
      <c r="D38" s="195"/>
      <c r="E38" s="195"/>
      <c r="F38" s="8"/>
      <c r="G38" s="8"/>
      <c r="H38" s="8"/>
      <c r="I38" s="8"/>
    </row>
    <row r="39" spans="1:9" ht="12.75">
      <c r="A39" s="8"/>
      <c r="B39" s="70"/>
      <c r="C39" s="8"/>
      <c r="D39" s="8"/>
      <c r="E39" s="8"/>
      <c r="F39" s="8"/>
      <c r="G39" s="8"/>
      <c r="H39" s="8"/>
      <c r="I39" s="8"/>
    </row>
    <row r="40" spans="1:9" ht="12.75">
      <c r="A40" s="8"/>
      <c r="B40" s="70"/>
      <c r="C40" s="8"/>
      <c r="D40" s="8"/>
      <c r="E40" s="8"/>
      <c r="F40" s="8"/>
      <c r="G40" s="8"/>
      <c r="H40" s="8"/>
      <c r="I40" s="8"/>
    </row>
    <row r="41" spans="1:9" ht="18">
      <c r="A41" s="196" t="s">
        <v>111</v>
      </c>
      <c r="B41" s="196"/>
      <c r="C41" s="197" t="str">
        <f>$C$11</f>
        <v>Biljardisli</v>
      </c>
      <c r="D41" s="197"/>
      <c r="E41" s="197"/>
      <c r="F41" s="8"/>
      <c r="G41" s="8"/>
      <c r="H41" s="8"/>
      <c r="I41" s="8"/>
    </row>
    <row r="42" spans="1:9" ht="12.75">
      <c r="A42" s="8"/>
      <c r="B42" s="70"/>
      <c r="C42" s="8"/>
      <c r="D42" s="8"/>
      <c r="E42" s="8"/>
      <c r="F42" s="8"/>
      <c r="G42" s="8"/>
      <c r="H42" s="8"/>
      <c r="I42" s="8"/>
    </row>
    <row r="43" spans="1:9" ht="18">
      <c r="A43" s="196" t="s">
        <v>112</v>
      </c>
      <c r="B43" s="196"/>
      <c r="C43" s="197" t="str">
        <f>$C$13</f>
        <v>5.-6.9.2008</v>
      </c>
      <c r="D43" s="197"/>
      <c r="E43" s="197"/>
      <c r="F43" s="8"/>
      <c r="G43" s="8"/>
      <c r="H43" s="8"/>
      <c r="I43" s="8"/>
    </row>
    <row r="44" spans="1:9" ht="12.75">
      <c r="A44" s="8"/>
      <c r="B44" s="70"/>
      <c r="C44" s="8"/>
      <c r="D44" s="8"/>
      <c r="E44" s="8"/>
      <c r="F44" s="8"/>
      <c r="G44" s="8"/>
      <c r="H44" s="8"/>
      <c r="I44" s="8"/>
    </row>
    <row r="45" spans="1:9" ht="18">
      <c r="A45" s="196" t="s">
        <v>114</v>
      </c>
      <c r="B45" s="196"/>
      <c r="C45" s="198" t="s">
        <v>115</v>
      </c>
      <c r="D45" s="198"/>
      <c r="E45" s="198"/>
      <c r="F45" s="198"/>
      <c r="G45" s="198"/>
      <c r="H45" s="198"/>
      <c r="I45" s="198"/>
    </row>
    <row r="46" spans="1:9" ht="18">
      <c r="A46" s="71"/>
      <c r="B46" s="71"/>
      <c r="C46" s="198"/>
      <c r="D46" s="198"/>
      <c r="E46" s="198"/>
      <c r="F46" s="198"/>
      <c r="G46" s="198"/>
      <c r="H46" s="198"/>
      <c r="I46" s="198"/>
    </row>
    <row r="47" spans="1:9" ht="18">
      <c r="A47" s="71"/>
      <c r="B47" s="71"/>
      <c r="C47" s="198"/>
      <c r="D47" s="198"/>
      <c r="E47" s="198"/>
      <c r="F47" s="198"/>
      <c r="G47" s="198"/>
      <c r="H47" s="198"/>
      <c r="I47" s="198"/>
    </row>
    <row r="48" spans="1:9" ht="12.75">
      <c r="A48" s="8"/>
      <c r="B48" s="70"/>
      <c r="C48" s="8"/>
      <c r="D48" s="8"/>
      <c r="E48" s="8"/>
      <c r="F48" s="8"/>
      <c r="G48" s="8"/>
      <c r="H48" s="8"/>
      <c r="I48" s="8"/>
    </row>
    <row r="49" spans="1:9" ht="18">
      <c r="A49" s="191" t="s">
        <v>116</v>
      </c>
      <c r="B49" s="191"/>
      <c r="C49" s="199"/>
      <c r="D49" s="199"/>
      <c r="E49" s="199"/>
      <c r="F49" s="199"/>
      <c r="G49" s="199"/>
      <c r="H49" s="8"/>
      <c r="I49" s="8"/>
    </row>
    <row r="50" spans="1:9" ht="12.75">
      <c r="A50" s="8"/>
      <c r="B50" s="70"/>
      <c r="C50" s="8"/>
      <c r="D50" s="8"/>
      <c r="E50" s="8"/>
      <c r="F50" s="8"/>
      <c r="G50" s="8"/>
      <c r="H50" s="8"/>
      <c r="I50" s="8"/>
    </row>
    <row r="51" spans="1:9" ht="12.75">
      <c r="A51" s="8"/>
      <c r="B51" s="70"/>
      <c r="C51" s="8"/>
      <c r="D51" s="8"/>
      <c r="E51" s="8"/>
      <c r="F51" s="8"/>
      <c r="G51" s="8"/>
      <c r="H51" s="8"/>
      <c r="I51" s="8"/>
    </row>
    <row r="52" spans="1:9" ht="18">
      <c r="A52" s="8"/>
      <c r="B52" s="8"/>
      <c r="C52" s="72" t="s">
        <v>118</v>
      </c>
      <c r="D52" s="73">
        <f>$D$22</f>
        <v>40</v>
      </c>
      <c r="E52" s="8"/>
      <c r="F52" s="8"/>
      <c r="G52" s="8"/>
      <c r="H52" s="8"/>
      <c r="I52" s="8"/>
    </row>
    <row r="53" spans="1:9" ht="12.75">
      <c r="A53" s="8"/>
      <c r="B53" s="70"/>
      <c r="C53" s="8"/>
      <c r="D53" s="8"/>
      <c r="E53" s="8"/>
      <c r="F53" s="8"/>
      <c r="G53" s="8"/>
      <c r="H53" s="8"/>
      <c r="I53" s="8"/>
    </row>
    <row r="54" spans="1:9" ht="12.75">
      <c r="A54" s="8"/>
      <c r="B54" s="70"/>
      <c r="C54" s="8"/>
      <c r="D54" s="8"/>
      <c r="E54" s="8"/>
      <c r="F54" s="8"/>
      <c r="G54" s="8"/>
      <c r="H54" s="8"/>
      <c r="I54" s="8"/>
    </row>
    <row r="55" spans="1:9" ht="12.75">
      <c r="A55" s="8"/>
      <c r="B55" s="70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8">
      <c r="A57" s="191" t="s">
        <v>119</v>
      </c>
      <c r="B57" s="191"/>
      <c r="C57" s="191"/>
      <c r="D57" s="191"/>
      <c r="E57" s="191"/>
      <c r="F57" s="8"/>
      <c r="G57" s="8"/>
      <c r="H57" s="8"/>
      <c r="I57" s="8"/>
    </row>
    <row r="58" spans="1:9" ht="18">
      <c r="A58" s="191" t="str">
        <f>$A$28</f>
        <v>Kokkolassa 4.11.2010</v>
      </c>
      <c r="B58" s="191"/>
      <c r="C58" s="191"/>
      <c r="D58" s="191"/>
      <c r="E58" s="191"/>
      <c r="F58" s="192"/>
      <c r="G58" s="192"/>
      <c r="H58" s="192"/>
      <c r="I58" s="192"/>
    </row>
    <row r="59" spans="1:9" ht="18">
      <c r="A59" s="8"/>
      <c r="B59" s="8"/>
      <c r="C59" s="8"/>
      <c r="D59" s="8"/>
      <c r="E59" s="8"/>
      <c r="F59" s="200" t="str">
        <f>$F$29</f>
        <v>Aimo Aivastus</v>
      </c>
      <c r="G59" s="200"/>
      <c r="H59" s="200"/>
      <c r="I59" s="200"/>
    </row>
    <row r="60" spans="1:9" ht="12.75">
      <c r="A60" s="8"/>
      <c r="B60" s="8"/>
      <c r="C60" s="8"/>
      <c r="D60" s="8"/>
      <c r="E60" s="8"/>
      <c r="F60" s="68"/>
      <c r="G60" s="68"/>
      <c r="H60" s="68"/>
      <c r="I60" s="6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25.5">
      <c r="A62" s="8"/>
      <c r="B62" s="8"/>
      <c r="C62" s="8"/>
      <c r="D62" s="8"/>
      <c r="E62" s="8"/>
      <c r="F62" s="193" t="s">
        <v>108</v>
      </c>
      <c r="G62" s="115"/>
      <c r="H62" s="115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26.25">
      <c r="A67" s="69" t="str">
        <f>$A$7</f>
        <v>Pyramidi RG1 Nevskaja, Kotka/KaKa</v>
      </c>
      <c r="B67" s="69"/>
      <c r="C67" s="69"/>
      <c r="D67" s="69"/>
      <c r="E67" s="69"/>
      <c r="F67" s="69"/>
      <c r="G67" s="68"/>
      <c r="H67" s="68"/>
      <c r="I67" s="8"/>
    </row>
    <row r="68" spans="1:9" ht="12.75">
      <c r="A68" s="194" t="s">
        <v>109</v>
      </c>
      <c r="B68" s="194"/>
      <c r="C68" s="195" t="str">
        <f>$C$8</f>
        <v>Pyriksen pelaajat ry.</v>
      </c>
      <c r="D68" s="195"/>
      <c r="E68" s="195"/>
      <c r="F68" s="8"/>
      <c r="G68" s="8"/>
      <c r="H68" s="8"/>
      <c r="I68" s="8"/>
    </row>
    <row r="69" spans="1:9" ht="12.75">
      <c r="A69" s="8"/>
      <c r="B69" s="70"/>
      <c r="C69" s="8"/>
      <c r="D69" s="8"/>
      <c r="E69" s="8"/>
      <c r="F69" s="8"/>
      <c r="G69" s="8"/>
      <c r="H69" s="8"/>
      <c r="I69" s="8"/>
    </row>
    <row r="70" spans="1:9" ht="12.75">
      <c r="A70" s="8"/>
      <c r="B70" s="70"/>
      <c r="C70" s="8"/>
      <c r="D70" s="8"/>
      <c r="E70" s="8"/>
      <c r="F70" s="8"/>
      <c r="G70" s="8"/>
      <c r="H70" s="8"/>
      <c r="I70" s="8"/>
    </row>
    <row r="71" spans="1:9" ht="18">
      <c r="A71" s="196" t="s">
        <v>111</v>
      </c>
      <c r="B71" s="196"/>
      <c r="C71" s="197" t="str">
        <f>$C$11</f>
        <v>Biljardisli</v>
      </c>
      <c r="D71" s="197"/>
      <c r="E71" s="197"/>
      <c r="F71" s="8"/>
      <c r="G71" s="8"/>
      <c r="H71" s="8"/>
      <c r="I71" s="8"/>
    </row>
    <row r="72" spans="1:9" ht="12.75">
      <c r="A72" s="8"/>
      <c r="B72" s="70"/>
      <c r="C72" s="8"/>
      <c r="D72" s="8"/>
      <c r="E72" s="8"/>
      <c r="F72" s="8"/>
      <c r="G72" s="8"/>
      <c r="H72" s="8"/>
      <c r="I72" s="8"/>
    </row>
    <row r="73" spans="1:9" ht="18">
      <c r="A73" s="196" t="s">
        <v>112</v>
      </c>
      <c r="B73" s="196"/>
      <c r="C73" s="197" t="str">
        <f>$C$13</f>
        <v>5.-6.9.2008</v>
      </c>
      <c r="D73" s="197"/>
      <c r="E73" s="197"/>
      <c r="F73" s="8"/>
      <c r="G73" s="8"/>
      <c r="H73" s="8"/>
      <c r="I73" s="8"/>
    </row>
    <row r="74" spans="1:9" ht="12.75">
      <c r="A74" s="8"/>
      <c r="B74" s="70"/>
      <c r="C74" s="8"/>
      <c r="D74" s="8"/>
      <c r="E74" s="8"/>
      <c r="F74" s="8"/>
      <c r="G74" s="8"/>
      <c r="H74" s="8"/>
      <c r="I74" s="8"/>
    </row>
    <row r="75" spans="1:9" ht="18">
      <c r="A75" s="196" t="s">
        <v>114</v>
      </c>
      <c r="B75" s="196"/>
      <c r="C75" s="198" t="s">
        <v>115</v>
      </c>
      <c r="D75" s="198"/>
      <c r="E75" s="198"/>
      <c r="F75" s="198"/>
      <c r="G75" s="198"/>
      <c r="H75" s="198"/>
      <c r="I75" s="198"/>
    </row>
    <row r="76" spans="1:9" ht="18">
      <c r="A76" s="71"/>
      <c r="B76" s="71"/>
      <c r="C76" s="198"/>
      <c r="D76" s="198"/>
      <c r="E76" s="198"/>
      <c r="F76" s="198"/>
      <c r="G76" s="198"/>
      <c r="H76" s="198"/>
      <c r="I76" s="198"/>
    </row>
    <row r="77" spans="1:9" ht="18">
      <c r="A77" s="71"/>
      <c r="B77" s="71"/>
      <c r="C77" s="198"/>
      <c r="D77" s="198"/>
      <c r="E77" s="198"/>
      <c r="F77" s="198"/>
      <c r="G77" s="198"/>
      <c r="H77" s="198"/>
      <c r="I77" s="198"/>
    </row>
    <row r="78" spans="1:9" ht="12.75">
      <c r="A78" s="8"/>
      <c r="B78" s="70"/>
      <c r="C78" s="8"/>
      <c r="D78" s="8"/>
      <c r="E78" s="8"/>
      <c r="F78" s="8"/>
      <c r="G78" s="8"/>
      <c r="H78" s="8"/>
      <c r="I78" s="8"/>
    </row>
    <row r="79" spans="1:9" ht="18">
      <c r="A79" s="191" t="s">
        <v>116</v>
      </c>
      <c r="B79" s="191"/>
      <c r="C79" s="199"/>
      <c r="D79" s="199"/>
      <c r="E79" s="199"/>
      <c r="F79" s="199"/>
      <c r="G79" s="199"/>
      <c r="H79" s="8"/>
      <c r="I79" s="8"/>
    </row>
    <row r="80" spans="1:9" ht="12.75">
      <c r="A80" s="8"/>
      <c r="B80" s="70"/>
      <c r="C80" s="8"/>
      <c r="D80" s="8"/>
      <c r="E80" s="8"/>
      <c r="F80" s="8"/>
      <c r="G80" s="8"/>
      <c r="H80" s="8"/>
      <c r="I80" s="8"/>
    </row>
    <row r="81" spans="1:9" ht="12.75">
      <c r="A81" s="8"/>
      <c r="B81" s="70"/>
      <c r="C81" s="8"/>
      <c r="D81" s="8"/>
      <c r="E81" s="8"/>
      <c r="F81" s="8"/>
      <c r="G81" s="8"/>
      <c r="H81" s="8"/>
      <c r="I81" s="8"/>
    </row>
    <row r="82" spans="1:9" ht="18">
      <c r="A82" s="8"/>
      <c r="B82" s="8"/>
      <c r="C82" s="72" t="s">
        <v>118</v>
      </c>
      <c r="D82" s="73">
        <f>$D$22</f>
        <v>40</v>
      </c>
      <c r="E82" s="8"/>
      <c r="F82" s="8"/>
      <c r="G82" s="8"/>
      <c r="H82" s="8"/>
      <c r="I82" s="8"/>
    </row>
    <row r="83" spans="1:9" ht="12.75">
      <c r="A83" s="8"/>
      <c r="B83" s="70"/>
      <c r="C83" s="8"/>
      <c r="D83" s="8"/>
      <c r="E83" s="8"/>
      <c r="F83" s="8"/>
      <c r="G83" s="8"/>
      <c r="H83" s="8"/>
      <c r="I83" s="8"/>
    </row>
    <row r="84" spans="1:9" ht="12.75">
      <c r="A84" s="8"/>
      <c r="B84" s="70"/>
      <c r="C84" s="8"/>
      <c r="D84" s="8"/>
      <c r="E84" s="8"/>
      <c r="F84" s="8"/>
      <c r="G84" s="8"/>
      <c r="H84" s="8"/>
      <c r="I84" s="8"/>
    </row>
    <row r="85" spans="1:9" ht="12.75">
      <c r="A85" s="8"/>
      <c r="B85" s="70"/>
      <c r="C85" s="8"/>
      <c r="D85" s="8"/>
      <c r="E85" s="8"/>
      <c r="F85" s="8"/>
      <c r="G85" s="8"/>
      <c r="H85" s="8"/>
      <c r="I85" s="8"/>
    </row>
    <row r="86" spans="1:9" ht="12.75">
      <c r="A86" s="8"/>
      <c r="B86" s="8"/>
      <c r="C86" s="8"/>
      <c r="D86" s="8"/>
      <c r="E86" s="8"/>
      <c r="F86" s="8"/>
      <c r="G86" s="8"/>
      <c r="H86" s="8"/>
      <c r="I86" s="8"/>
    </row>
    <row r="87" spans="1:9" ht="18">
      <c r="A87" s="191" t="s">
        <v>119</v>
      </c>
      <c r="B87" s="191"/>
      <c r="C87" s="191"/>
      <c r="D87" s="191"/>
      <c r="E87" s="191"/>
      <c r="F87" s="8"/>
      <c r="G87" s="8"/>
      <c r="H87" s="8"/>
      <c r="I87" s="8"/>
    </row>
    <row r="88" spans="1:9" ht="18">
      <c r="A88" s="191" t="str">
        <f>$A$28</f>
        <v>Kokkolassa 4.11.2010</v>
      </c>
      <c r="B88" s="191"/>
      <c r="C88" s="191"/>
      <c r="D88" s="191"/>
      <c r="E88" s="191"/>
      <c r="F88" s="192"/>
      <c r="G88" s="192"/>
      <c r="H88" s="192"/>
      <c r="I88" s="192"/>
    </row>
    <row r="89" spans="1:9" ht="18">
      <c r="A89" s="8"/>
      <c r="B89" s="8"/>
      <c r="C89" s="8"/>
      <c r="D89" s="8"/>
      <c r="E89" s="8"/>
      <c r="F89" s="200" t="str">
        <f>$F$29</f>
        <v>Aimo Aivastus</v>
      </c>
      <c r="G89" s="200"/>
      <c r="H89" s="200"/>
      <c r="I89" s="200"/>
    </row>
    <row r="90" spans="1:9" ht="12.75">
      <c r="A90" s="8"/>
      <c r="B90" s="8"/>
      <c r="C90" s="8"/>
      <c r="D90" s="8"/>
      <c r="E90" s="8"/>
      <c r="F90" s="68"/>
      <c r="G90" s="68"/>
      <c r="H90" s="68"/>
      <c r="I90" s="68"/>
    </row>
    <row r="91" spans="1:9" ht="12.75">
      <c r="A91" s="8"/>
      <c r="B91" s="8"/>
      <c r="C91" s="8"/>
      <c r="D91" s="8"/>
      <c r="E91" s="8"/>
      <c r="F91" s="8"/>
      <c r="G91" s="8"/>
      <c r="H91" s="8"/>
      <c r="I91" s="8"/>
    </row>
    <row r="92" spans="1:9" ht="25.5">
      <c r="A92" s="8"/>
      <c r="B92" s="8"/>
      <c r="C92" s="8"/>
      <c r="D92" s="8"/>
      <c r="E92" s="8"/>
      <c r="F92" s="193" t="s">
        <v>108</v>
      </c>
      <c r="G92" s="115"/>
      <c r="H92" s="115"/>
      <c r="I92" s="8"/>
    </row>
    <row r="93" spans="1:9" ht="12.75">
      <c r="A93" s="8"/>
      <c r="B93" s="8"/>
      <c r="C93" s="8"/>
      <c r="D93" s="8"/>
      <c r="E93" s="8"/>
      <c r="F93" s="8"/>
      <c r="G93" s="8"/>
      <c r="H93" s="8"/>
      <c r="I93" s="8"/>
    </row>
    <row r="94" spans="1:9" ht="12.75">
      <c r="A94" s="8"/>
      <c r="B94" s="8"/>
      <c r="C94" s="8"/>
      <c r="D94" s="8"/>
      <c r="E94" s="8"/>
      <c r="F94" s="8"/>
      <c r="G94" s="8"/>
      <c r="H94" s="8"/>
      <c r="I94" s="8"/>
    </row>
    <row r="95" spans="1:9" ht="12.75">
      <c r="A95" s="8"/>
      <c r="B95" s="8"/>
      <c r="C95" s="8"/>
      <c r="D95" s="8"/>
      <c r="E95" s="8"/>
      <c r="F95" s="8"/>
      <c r="G95" s="8"/>
      <c r="H95" s="8"/>
      <c r="I95" s="8"/>
    </row>
    <row r="96" spans="1:9" ht="12.75">
      <c r="A96" s="8"/>
      <c r="B96" s="8"/>
      <c r="C96" s="8"/>
      <c r="D96" s="8"/>
      <c r="E96" s="8"/>
      <c r="F96" s="8"/>
      <c r="G96" s="8"/>
      <c r="H96" s="8"/>
      <c r="I96" s="8"/>
    </row>
    <row r="97" spans="1:9" ht="26.25">
      <c r="A97" s="69" t="str">
        <f>$A$7</f>
        <v>Pyramidi RG1 Nevskaja, Kotka/KaKa</v>
      </c>
      <c r="B97" s="69"/>
      <c r="C97" s="69"/>
      <c r="D97" s="69"/>
      <c r="E97" s="69"/>
      <c r="F97" s="69"/>
      <c r="G97" s="68"/>
      <c r="H97" s="68"/>
      <c r="I97" s="8"/>
    </row>
    <row r="98" spans="1:9" ht="12.75">
      <c r="A98" s="194" t="s">
        <v>109</v>
      </c>
      <c r="B98" s="194"/>
      <c r="C98" s="195" t="str">
        <f>$C$8</f>
        <v>Pyriksen pelaajat ry.</v>
      </c>
      <c r="D98" s="195"/>
      <c r="E98" s="195"/>
      <c r="F98" s="8"/>
      <c r="G98" s="8"/>
      <c r="H98" s="8"/>
      <c r="I98" s="8"/>
    </row>
    <row r="99" spans="1:9" ht="12.75">
      <c r="A99" s="8"/>
      <c r="B99" s="70"/>
      <c r="C99" s="8"/>
      <c r="D99" s="8"/>
      <c r="E99" s="8"/>
      <c r="F99" s="8"/>
      <c r="G99" s="8"/>
      <c r="H99" s="8"/>
      <c r="I99" s="8"/>
    </row>
    <row r="100" spans="1:9" ht="12.75">
      <c r="A100" s="8"/>
      <c r="B100" s="70"/>
      <c r="C100" s="8"/>
      <c r="D100" s="8"/>
      <c r="E100" s="8"/>
      <c r="F100" s="8"/>
      <c r="G100" s="8"/>
      <c r="H100" s="8"/>
      <c r="I100" s="8"/>
    </row>
    <row r="101" spans="1:9" ht="18">
      <c r="A101" s="196" t="s">
        <v>111</v>
      </c>
      <c r="B101" s="196"/>
      <c r="C101" s="197" t="str">
        <f>$C$11</f>
        <v>Biljardisli</v>
      </c>
      <c r="D101" s="197"/>
      <c r="E101" s="197"/>
      <c r="F101" s="8"/>
      <c r="G101" s="8"/>
      <c r="H101" s="8"/>
      <c r="I101" s="8"/>
    </row>
    <row r="102" spans="1:9" ht="12.75">
      <c r="A102" s="8"/>
      <c r="B102" s="70"/>
      <c r="C102" s="8"/>
      <c r="D102" s="8"/>
      <c r="E102" s="8"/>
      <c r="F102" s="8"/>
      <c r="G102" s="8"/>
      <c r="H102" s="8"/>
      <c r="I102" s="8"/>
    </row>
    <row r="103" spans="1:9" ht="18">
      <c r="A103" s="196" t="s">
        <v>112</v>
      </c>
      <c r="B103" s="196"/>
      <c r="C103" s="197" t="str">
        <f>$C$13</f>
        <v>5.-6.9.2008</v>
      </c>
      <c r="D103" s="197"/>
      <c r="E103" s="197"/>
      <c r="F103" s="8"/>
      <c r="G103" s="8"/>
      <c r="H103" s="8"/>
      <c r="I103" s="8"/>
    </row>
    <row r="104" spans="1:9" ht="12.75">
      <c r="A104" s="8"/>
      <c r="B104" s="70"/>
      <c r="C104" s="8"/>
      <c r="D104" s="8"/>
      <c r="E104" s="8"/>
      <c r="F104" s="8"/>
      <c r="G104" s="8"/>
      <c r="H104" s="8"/>
      <c r="I104" s="8"/>
    </row>
    <row r="105" spans="1:9" ht="23.25">
      <c r="A105" s="196" t="s">
        <v>122</v>
      </c>
      <c r="B105" s="196"/>
      <c r="C105" s="201"/>
      <c r="D105" s="201"/>
      <c r="E105" s="201"/>
      <c r="F105" s="201"/>
      <c r="G105" s="201"/>
      <c r="H105" s="8"/>
      <c r="I105" s="8"/>
    </row>
    <row r="106" spans="1:9" ht="12.75">
      <c r="A106" s="8"/>
      <c r="B106" s="70"/>
      <c r="C106" s="8"/>
      <c r="D106" s="8"/>
      <c r="E106" s="8"/>
      <c r="F106" s="8"/>
      <c r="G106" s="8"/>
      <c r="H106" s="8"/>
      <c r="I106" s="8"/>
    </row>
    <row r="107" spans="1:9" ht="18">
      <c r="A107" s="196" t="s">
        <v>116</v>
      </c>
      <c r="B107" s="196"/>
      <c r="C107" s="199"/>
      <c r="D107" s="199"/>
      <c r="E107" s="199"/>
      <c r="F107" s="199"/>
      <c r="G107" s="199"/>
      <c r="H107" s="8"/>
      <c r="I107" s="8"/>
    </row>
    <row r="108" spans="1:9" ht="12.75">
      <c r="A108" s="8"/>
      <c r="B108" s="70"/>
      <c r="C108" s="8"/>
      <c r="D108" s="8"/>
      <c r="E108" s="8"/>
      <c r="F108" s="8"/>
      <c r="G108" s="8"/>
      <c r="H108" s="8"/>
      <c r="I108" s="8"/>
    </row>
    <row r="109" spans="1:9" ht="12.75">
      <c r="A109" s="8"/>
      <c r="B109" s="70"/>
      <c r="C109" s="8"/>
      <c r="D109" s="8"/>
      <c r="E109" s="8"/>
      <c r="F109" s="8"/>
      <c r="G109" s="8"/>
      <c r="H109" s="8"/>
      <c r="I109" s="8"/>
    </row>
    <row r="110" spans="1:9" ht="18">
      <c r="A110" s="8"/>
      <c r="B110" s="8"/>
      <c r="C110" s="72" t="s">
        <v>118</v>
      </c>
      <c r="D110" s="73">
        <f>$D$22</f>
        <v>40</v>
      </c>
      <c r="E110" s="8"/>
      <c r="F110" s="8"/>
      <c r="G110" s="8"/>
      <c r="H110" s="8"/>
      <c r="I110" s="8"/>
    </row>
    <row r="111" spans="1:9" ht="12.75">
      <c r="A111" s="8"/>
      <c r="B111" s="70"/>
      <c r="C111" s="8"/>
      <c r="D111" s="8"/>
      <c r="E111" s="8"/>
      <c r="F111" s="8"/>
      <c r="G111" s="8"/>
      <c r="H111" s="8"/>
      <c r="I111" s="8"/>
    </row>
    <row r="112" spans="1:9" ht="12.75">
      <c r="A112" s="8"/>
      <c r="B112" s="70"/>
      <c r="C112" s="8"/>
      <c r="D112" s="8"/>
      <c r="E112" s="8"/>
      <c r="F112" s="8"/>
      <c r="G112" s="8"/>
      <c r="H112" s="8"/>
      <c r="I112" s="8"/>
    </row>
    <row r="113" spans="1:9" ht="12.75">
      <c r="A113" s="8"/>
      <c r="B113" s="70"/>
      <c r="C113" s="8"/>
      <c r="D113" s="8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8">
      <c r="A115" s="191" t="s">
        <v>119</v>
      </c>
      <c r="B115" s="191"/>
      <c r="C115" s="191"/>
      <c r="D115" s="191"/>
      <c r="E115" s="191"/>
      <c r="F115" s="8"/>
      <c r="G115" s="8"/>
      <c r="H115" s="8"/>
      <c r="I115" s="8"/>
    </row>
    <row r="116" spans="1:9" ht="18">
      <c r="A116" s="191" t="str">
        <f>$A$28</f>
        <v>Kokkolassa 4.11.2010</v>
      </c>
      <c r="B116" s="191"/>
      <c r="C116" s="191"/>
      <c r="D116" s="191"/>
      <c r="E116" s="191"/>
      <c r="F116" s="192"/>
      <c r="G116" s="192"/>
      <c r="H116" s="192"/>
      <c r="I116" s="192"/>
    </row>
    <row r="117" spans="1:9" ht="18">
      <c r="A117" s="8"/>
      <c r="B117" s="8"/>
      <c r="C117" s="8"/>
      <c r="D117" s="8"/>
      <c r="E117" s="8"/>
      <c r="F117" s="200" t="str">
        <f>$F$29</f>
        <v>Aimo Aivastus</v>
      </c>
      <c r="G117" s="200"/>
      <c r="H117" s="200"/>
      <c r="I117" s="200"/>
    </row>
    <row r="118" spans="1:9" ht="12.75">
      <c r="A118" s="8"/>
      <c r="B118" s="8"/>
      <c r="C118" s="8"/>
      <c r="D118" s="8"/>
      <c r="E118" s="8"/>
      <c r="F118" s="68"/>
      <c r="G118" s="68"/>
      <c r="H118" s="68"/>
      <c r="I118" s="68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25.5">
      <c r="A120" s="8"/>
      <c r="B120" s="8"/>
      <c r="C120" s="8"/>
      <c r="D120" s="8"/>
      <c r="E120" s="8"/>
      <c r="F120" s="193" t="s">
        <v>108</v>
      </c>
      <c r="G120" s="115"/>
      <c r="H120" s="115"/>
      <c r="I120" s="8"/>
    </row>
    <row r="121" spans="1:9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26.25">
      <c r="A125" s="69" t="str">
        <f>$A$7</f>
        <v>Pyramidi RG1 Nevskaja, Kotka/KaKa</v>
      </c>
      <c r="B125" s="69"/>
      <c r="C125" s="69"/>
      <c r="D125" s="69"/>
      <c r="E125" s="69"/>
      <c r="F125" s="69"/>
      <c r="G125" s="68"/>
      <c r="H125" s="68"/>
      <c r="I125" s="8"/>
    </row>
    <row r="126" spans="1:9" ht="12.75">
      <c r="A126" s="194" t="s">
        <v>109</v>
      </c>
      <c r="B126" s="194"/>
      <c r="C126" s="195" t="str">
        <f>$C$8</f>
        <v>Pyriksen pelaajat ry.</v>
      </c>
      <c r="D126" s="195"/>
      <c r="E126" s="195"/>
      <c r="F126" s="8"/>
      <c r="G126" s="8"/>
      <c r="H126" s="8"/>
      <c r="I126" s="8"/>
    </row>
    <row r="127" spans="1:9" ht="12.75">
      <c r="A127" s="8"/>
      <c r="B127" s="70"/>
      <c r="C127" s="8"/>
      <c r="D127" s="8"/>
      <c r="E127" s="8"/>
      <c r="F127" s="8"/>
      <c r="G127" s="8"/>
      <c r="H127" s="8"/>
      <c r="I127" s="8"/>
    </row>
    <row r="128" spans="1:9" ht="12.75">
      <c r="A128" s="8"/>
      <c r="B128" s="70"/>
      <c r="C128" s="8"/>
      <c r="D128" s="8"/>
      <c r="E128" s="8"/>
      <c r="F128" s="8"/>
      <c r="G128" s="8"/>
      <c r="H128" s="8"/>
      <c r="I128" s="8"/>
    </row>
    <row r="129" spans="1:9" ht="18">
      <c r="A129" s="196" t="s">
        <v>111</v>
      </c>
      <c r="B129" s="196"/>
      <c r="C129" s="197" t="str">
        <f>$C$11</f>
        <v>Biljardisli</v>
      </c>
      <c r="D129" s="197"/>
      <c r="E129" s="197"/>
      <c r="F129" s="8"/>
      <c r="G129" s="8"/>
      <c r="H129" s="8"/>
      <c r="I129" s="8"/>
    </row>
    <row r="130" spans="1:9" ht="12.75">
      <c r="A130" s="8"/>
      <c r="B130" s="70"/>
      <c r="C130" s="8"/>
      <c r="D130" s="8"/>
      <c r="E130" s="8"/>
      <c r="F130" s="8"/>
      <c r="G130" s="8"/>
      <c r="H130" s="8"/>
      <c r="I130" s="8"/>
    </row>
    <row r="131" spans="1:9" ht="18">
      <c r="A131" s="196" t="s">
        <v>112</v>
      </c>
      <c r="B131" s="196"/>
      <c r="C131" s="197" t="str">
        <f>$C$13</f>
        <v>5.-6.9.2008</v>
      </c>
      <c r="D131" s="197"/>
      <c r="E131" s="197"/>
      <c r="F131" s="8"/>
      <c r="G131" s="8"/>
      <c r="H131" s="8"/>
      <c r="I131" s="8"/>
    </row>
    <row r="132" spans="1:9" ht="12.75">
      <c r="A132" s="8"/>
      <c r="B132" s="70"/>
      <c r="C132" s="8"/>
      <c r="D132" s="8"/>
      <c r="E132" s="8"/>
      <c r="F132" s="8"/>
      <c r="G132" s="8"/>
      <c r="H132" s="8"/>
      <c r="I132" s="8"/>
    </row>
    <row r="133" spans="1:9" ht="23.25">
      <c r="A133" s="196" t="s">
        <v>122</v>
      </c>
      <c r="B133" s="196"/>
      <c r="C133" s="201"/>
      <c r="D133" s="201"/>
      <c r="E133" s="201"/>
      <c r="F133" s="201"/>
      <c r="G133" s="201"/>
      <c r="H133" s="8"/>
      <c r="I133" s="8"/>
    </row>
    <row r="134" spans="1:9" ht="12.75">
      <c r="A134" s="8"/>
      <c r="B134" s="70"/>
      <c r="C134" s="8"/>
      <c r="D134" s="8"/>
      <c r="E134" s="8"/>
      <c r="F134" s="8"/>
      <c r="G134" s="8"/>
      <c r="H134" s="8"/>
      <c r="I134" s="8"/>
    </row>
    <row r="135" spans="1:9" ht="18">
      <c r="A135" s="196" t="s">
        <v>116</v>
      </c>
      <c r="B135" s="196"/>
      <c r="C135" s="199"/>
      <c r="D135" s="199"/>
      <c r="E135" s="199"/>
      <c r="F135" s="199"/>
      <c r="G135" s="199"/>
      <c r="H135" s="8"/>
      <c r="I135" s="8"/>
    </row>
    <row r="136" spans="1:9" ht="12.75">
      <c r="A136" s="8"/>
      <c r="B136" s="70"/>
      <c r="C136" s="8"/>
      <c r="D136" s="8"/>
      <c r="E136" s="8"/>
      <c r="F136" s="8"/>
      <c r="G136" s="8"/>
      <c r="H136" s="8"/>
      <c r="I136" s="8"/>
    </row>
    <row r="137" spans="1:9" ht="12.75">
      <c r="A137" s="8"/>
      <c r="B137" s="70"/>
      <c r="C137" s="8"/>
      <c r="D137" s="8"/>
      <c r="E137" s="8"/>
      <c r="F137" s="8"/>
      <c r="G137" s="8"/>
      <c r="H137" s="8"/>
      <c r="I137" s="8"/>
    </row>
    <row r="138" spans="1:9" ht="18">
      <c r="A138" s="8"/>
      <c r="B138" s="8"/>
      <c r="C138" s="72" t="s">
        <v>118</v>
      </c>
      <c r="D138" s="73">
        <f>$D$22</f>
        <v>40</v>
      </c>
      <c r="E138" s="8"/>
      <c r="F138" s="8"/>
      <c r="G138" s="8"/>
      <c r="H138" s="8"/>
      <c r="I138" s="8"/>
    </row>
    <row r="139" spans="1:9" ht="12.75">
      <c r="A139" s="8"/>
      <c r="B139" s="70"/>
      <c r="C139" s="8"/>
      <c r="D139" s="8"/>
      <c r="E139" s="8"/>
      <c r="F139" s="8"/>
      <c r="G139" s="8"/>
      <c r="H139" s="8"/>
      <c r="I139" s="8"/>
    </row>
    <row r="140" spans="1:9" ht="12.75">
      <c r="A140" s="8"/>
      <c r="B140" s="70"/>
      <c r="C140" s="8"/>
      <c r="D140" s="8"/>
      <c r="E140" s="8"/>
      <c r="F140" s="8"/>
      <c r="G140" s="8"/>
      <c r="H140" s="8"/>
      <c r="I140" s="8"/>
    </row>
    <row r="141" spans="1:9" ht="12.75">
      <c r="A141" s="8"/>
      <c r="B141" s="70"/>
      <c r="C141" s="8"/>
      <c r="D141" s="8"/>
      <c r="E141" s="8"/>
      <c r="F141" s="8"/>
      <c r="G141" s="8"/>
      <c r="H141" s="8"/>
      <c r="I141" s="8"/>
    </row>
    <row r="142" spans="1:9" ht="12.7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8">
      <c r="A143" s="191" t="s">
        <v>119</v>
      </c>
      <c r="B143" s="191"/>
      <c r="C143" s="191"/>
      <c r="D143" s="191"/>
      <c r="E143" s="191"/>
      <c r="F143" s="8"/>
      <c r="G143" s="8"/>
      <c r="H143" s="8"/>
      <c r="I143" s="8"/>
    </row>
    <row r="144" spans="1:9" ht="18">
      <c r="A144" s="191" t="str">
        <f>$A$28</f>
        <v>Kokkolassa 4.11.2010</v>
      </c>
      <c r="B144" s="191"/>
      <c r="C144" s="191"/>
      <c r="D144" s="191"/>
      <c r="E144" s="191"/>
      <c r="F144" s="192"/>
      <c r="G144" s="192"/>
      <c r="H144" s="192"/>
      <c r="I144" s="192"/>
    </row>
    <row r="145" spans="1:9" ht="18">
      <c r="A145" s="8"/>
      <c r="B145" s="8"/>
      <c r="C145" s="8"/>
      <c r="D145" s="8"/>
      <c r="E145" s="8"/>
      <c r="F145" s="200" t="str">
        <f>$F$29</f>
        <v>Aimo Aivastus</v>
      </c>
      <c r="G145" s="200"/>
      <c r="H145" s="200"/>
      <c r="I145" s="200"/>
    </row>
    <row r="146" spans="1:9" ht="12.75">
      <c r="A146" s="8"/>
      <c r="B146" s="8"/>
      <c r="C146" s="8"/>
      <c r="D146" s="8"/>
      <c r="E146" s="8"/>
      <c r="F146" s="68"/>
      <c r="G146" s="68"/>
      <c r="H146" s="68"/>
      <c r="I146" s="68"/>
    </row>
    <row r="147" spans="1:9" ht="12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25.5">
      <c r="A148" s="8"/>
      <c r="B148" s="8"/>
      <c r="C148" s="8"/>
      <c r="D148" s="8"/>
      <c r="E148" s="8"/>
      <c r="F148" s="193" t="s">
        <v>108</v>
      </c>
      <c r="G148" s="115"/>
      <c r="H148" s="115"/>
      <c r="I148" s="8"/>
    </row>
    <row r="149" spans="1:9" ht="12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26.25">
      <c r="A153" s="69" t="str">
        <f>$A$7</f>
        <v>Pyramidi RG1 Nevskaja, Kotka/KaKa</v>
      </c>
      <c r="B153" s="69"/>
      <c r="C153" s="69"/>
      <c r="D153" s="69"/>
      <c r="E153" s="69"/>
      <c r="F153" s="69"/>
      <c r="G153" s="68"/>
      <c r="H153" s="68"/>
      <c r="I153" s="8"/>
    </row>
    <row r="154" spans="1:9" ht="12.75">
      <c r="A154" s="194" t="s">
        <v>109</v>
      </c>
      <c r="B154" s="194"/>
      <c r="C154" s="195" t="str">
        <f>$C$8</f>
        <v>Pyriksen pelaajat ry.</v>
      </c>
      <c r="D154" s="195"/>
      <c r="E154" s="195"/>
      <c r="F154" s="8"/>
      <c r="G154" s="8"/>
      <c r="H154" s="8"/>
      <c r="I154" s="8"/>
    </row>
    <row r="155" spans="1:9" ht="12.75">
      <c r="A155" s="8"/>
      <c r="B155" s="70"/>
      <c r="C155" s="8"/>
      <c r="D155" s="8"/>
      <c r="E155" s="8"/>
      <c r="F155" s="8"/>
      <c r="G155" s="8"/>
      <c r="H155" s="8"/>
      <c r="I155" s="8"/>
    </row>
    <row r="156" spans="1:9" ht="12.75">
      <c r="A156" s="8"/>
      <c r="B156" s="70"/>
      <c r="C156" s="8"/>
      <c r="D156" s="8"/>
      <c r="E156" s="8"/>
      <c r="F156" s="8"/>
      <c r="G156" s="8"/>
      <c r="H156" s="8"/>
      <c r="I156" s="8"/>
    </row>
    <row r="157" spans="1:9" ht="18">
      <c r="A157" s="196" t="s">
        <v>111</v>
      </c>
      <c r="B157" s="196"/>
      <c r="C157" s="197" t="str">
        <f>$C$11</f>
        <v>Biljardisli</v>
      </c>
      <c r="D157" s="197"/>
      <c r="E157" s="197"/>
      <c r="F157" s="8"/>
      <c r="G157" s="8"/>
      <c r="H157" s="8"/>
      <c r="I157" s="8"/>
    </row>
    <row r="158" spans="1:9" ht="12.75">
      <c r="A158" s="8"/>
      <c r="B158" s="70"/>
      <c r="C158" s="8"/>
      <c r="D158" s="8"/>
      <c r="E158" s="8"/>
      <c r="F158" s="8"/>
      <c r="G158" s="8"/>
      <c r="H158" s="8"/>
      <c r="I158" s="8"/>
    </row>
    <row r="159" spans="1:9" ht="18">
      <c r="A159" s="196" t="s">
        <v>112</v>
      </c>
      <c r="B159" s="196"/>
      <c r="C159" s="197" t="str">
        <f>$C$13</f>
        <v>5.-6.9.2008</v>
      </c>
      <c r="D159" s="197"/>
      <c r="E159" s="197"/>
      <c r="F159" s="8"/>
      <c r="G159" s="8"/>
      <c r="H159" s="8"/>
      <c r="I159" s="8"/>
    </row>
    <row r="160" spans="1:9" ht="12.75">
      <c r="A160" s="8"/>
      <c r="B160" s="70"/>
      <c r="C160" s="8"/>
      <c r="D160" s="8"/>
      <c r="E160" s="8"/>
      <c r="F160" s="8"/>
      <c r="G160" s="8"/>
      <c r="H160" s="8"/>
      <c r="I160" s="8"/>
    </row>
    <row r="161" spans="1:9" ht="23.25">
      <c r="A161" s="196" t="s">
        <v>122</v>
      </c>
      <c r="B161" s="196"/>
      <c r="C161" s="201"/>
      <c r="D161" s="201"/>
      <c r="E161" s="201"/>
      <c r="F161" s="201"/>
      <c r="G161" s="201"/>
      <c r="H161" s="8"/>
      <c r="I161" s="8"/>
    </row>
    <row r="162" spans="1:9" ht="12.75">
      <c r="A162" s="8"/>
      <c r="B162" s="70"/>
      <c r="C162" s="8"/>
      <c r="D162" s="8"/>
      <c r="E162" s="8"/>
      <c r="F162" s="8"/>
      <c r="G162" s="8"/>
      <c r="H162" s="8"/>
      <c r="I162" s="8"/>
    </row>
    <row r="163" spans="1:9" ht="18">
      <c r="A163" s="196" t="s">
        <v>116</v>
      </c>
      <c r="B163" s="196"/>
      <c r="C163" s="199"/>
      <c r="D163" s="199"/>
      <c r="E163" s="199"/>
      <c r="F163" s="199"/>
      <c r="G163" s="199"/>
      <c r="H163" s="8"/>
      <c r="I163" s="8"/>
    </row>
    <row r="164" spans="1:9" ht="12.75">
      <c r="A164" s="8"/>
      <c r="B164" s="70"/>
      <c r="C164" s="8"/>
      <c r="D164" s="8"/>
      <c r="E164" s="8"/>
      <c r="F164" s="8"/>
      <c r="G164" s="8"/>
      <c r="H164" s="8"/>
      <c r="I164" s="8"/>
    </row>
    <row r="165" spans="1:9" ht="12.75">
      <c r="A165" s="8"/>
      <c r="B165" s="70"/>
      <c r="C165" s="8"/>
      <c r="D165" s="8"/>
      <c r="E165" s="8"/>
      <c r="F165" s="8"/>
      <c r="G165" s="8"/>
      <c r="H165" s="8"/>
      <c r="I165" s="8"/>
    </row>
    <row r="166" spans="1:9" ht="18">
      <c r="A166" s="8"/>
      <c r="B166" s="8"/>
      <c r="C166" s="72" t="s">
        <v>118</v>
      </c>
      <c r="D166" s="73">
        <f>$D$22</f>
        <v>40</v>
      </c>
      <c r="E166" s="8"/>
      <c r="F166" s="8"/>
      <c r="G166" s="8"/>
      <c r="H166" s="8"/>
      <c r="I166" s="8"/>
    </row>
    <row r="167" spans="1:9" ht="12.75">
      <c r="A167" s="8"/>
      <c r="B167" s="70"/>
      <c r="C167" s="8"/>
      <c r="D167" s="8"/>
      <c r="E167" s="8"/>
      <c r="F167" s="8"/>
      <c r="G167" s="8"/>
      <c r="H167" s="8"/>
      <c r="I167" s="8"/>
    </row>
    <row r="168" spans="1:9" ht="12.75">
      <c r="A168" s="8"/>
      <c r="B168" s="70"/>
      <c r="C168" s="8"/>
      <c r="D168" s="8"/>
      <c r="E168" s="8"/>
      <c r="F168" s="8"/>
      <c r="G168" s="8"/>
      <c r="H168" s="8"/>
      <c r="I168" s="8"/>
    </row>
    <row r="169" spans="1:9" ht="12.75">
      <c r="A169" s="8"/>
      <c r="B169" s="70"/>
      <c r="C169" s="8"/>
      <c r="D169" s="8"/>
      <c r="E169" s="8"/>
      <c r="F169" s="8"/>
      <c r="G169" s="8"/>
      <c r="H169" s="8"/>
      <c r="I169" s="8"/>
    </row>
    <row r="170" spans="1:9" ht="12.7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8">
      <c r="A171" s="191" t="s">
        <v>119</v>
      </c>
      <c r="B171" s="191"/>
      <c r="C171" s="191"/>
      <c r="D171" s="191"/>
      <c r="E171" s="191"/>
      <c r="F171" s="8"/>
      <c r="G171" s="8"/>
      <c r="H171" s="8"/>
      <c r="I171" s="8"/>
    </row>
    <row r="172" spans="1:9" ht="18">
      <c r="A172" s="191" t="str">
        <f>$A$28</f>
        <v>Kokkolassa 4.11.2010</v>
      </c>
      <c r="B172" s="191"/>
      <c r="C172" s="191"/>
      <c r="D172" s="191"/>
      <c r="E172" s="191"/>
      <c r="F172" s="192"/>
      <c r="G172" s="192"/>
      <c r="H172" s="192"/>
      <c r="I172" s="192"/>
    </row>
    <row r="173" spans="1:9" ht="18">
      <c r="A173" s="8"/>
      <c r="B173" s="8"/>
      <c r="C173" s="8"/>
      <c r="D173" s="8"/>
      <c r="E173" s="8"/>
      <c r="F173" s="200" t="str">
        <f>$F$29</f>
        <v>Aimo Aivastus</v>
      </c>
      <c r="G173" s="200"/>
      <c r="H173" s="200"/>
      <c r="I173" s="200"/>
    </row>
    <row r="174" spans="1:9" ht="12.75">
      <c r="A174" s="8"/>
      <c r="B174" s="8"/>
      <c r="C174" s="8"/>
      <c r="D174" s="8"/>
      <c r="E174" s="8"/>
      <c r="F174" s="68"/>
      <c r="G174" s="68"/>
      <c r="H174" s="68"/>
      <c r="I174" s="68"/>
    </row>
    <row r="175" spans="1:9" ht="12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25.5">
      <c r="A176" s="8"/>
      <c r="B176" s="8"/>
      <c r="C176" s="8"/>
      <c r="D176" s="8"/>
      <c r="E176" s="8"/>
      <c r="F176" s="193" t="s">
        <v>108</v>
      </c>
      <c r="G176" s="115"/>
      <c r="H176" s="115"/>
      <c r="I176" s="8"/>
    </row>
    <row r="177" spans="1:9" ht="12.7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2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2.7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2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26.25">
      <c r="A181" s="69" t="str">
        <f>$A$7</f>
        <v>Pyramidi RG1 Nevskaja, Kotka/KaKa</v>
      </c>
      <c r="B181" s="69"/>
      <c r="C181" s="69"/>
      <c r="D181" s="69"/>
      <c r="E181" s="69"/>
      <c r="F181" s="69"/>
      <c r="G181" s="68"/>
      <c r="H181" s="68"/>
      <c r="I181" s="8"/>
    </row>
    <row r="182" spans="1:9" ht="12.75">
      <c r="A182" s="194" t="s">
        <v>109</v>
      </c>
      <c r="B182" s="194"/>
      <c r="C182" s="195" t="str">
        <f>$C$8</f>
        <v>Pyriksen pelaajat ry.</v>
      </c>
      <c r="D182" s="195"/>
      <c r="E182" s="195"/>
      <c r="F182" s="8"/>
      <c r="G182" s="8"/>
      <c r="H182" s="8"/>
      <c r="I182" s="8"/>
    </row>
    <row r="183" spans="1:9" ht="12.75">
      <c r="A183" s="8"/>
      <c r="B183" s="70"/>
      <c r="C183" s="8"/>
      <c r="D183" s="8"/>
      <c r="E183" s="8"/>
      <c r="F183" s="8"/>
      <c r="G183" s="8"/>
      <c r="H183" s="8"/>
      <c r="I183" s="8"/>
    </row>
    <row r="184" spans="1:9" ht="12.75">
      <c r="A184" s="8"/>
      <c r="B184" s="70"/>
      <c r="C184" s="8"/>
      <c r="D184" s="8"/>
      <c r="E184" s="8"/>
      <c r="F184" s="8"/>
      <c r="G184" s="8"/>
      <c r="H184" s="8"/>
      <c r="I184" s="8"/>
    </row>
    <row r="185" spans="1:9" ht="18">
      <c r="A185" s="196" t="s">
        <v>111</v>
      </c>
      <c r="B185" s="196"/>
      <c r="C185" s="197" t="str">
        <f>$C$11</f>
        <v>Biljardisli</v>
      </c>
      <c r="D185" s="197"/>
      <c r="E185" s="197"/>
      <c r="F185" s="8"/>
      <c r="G185" s="8"/>
      <c r="H185" s="8"/>
      <c r="I185" s="8"/>
    </row>
    <row r="186" spans="1:9" ht="12.75">
      <c r="A186" s="8"/>
      <c r="B186" s="70"/>
      <c r="C186" s="8"/>
      <c r="D186" s="8"/>
      <c r="E186" s="8"/>
      <c r="F186" s="8"/>
      <c r="G186" s="8"/>
      <c r="H186" s="8"/>
      <c r="I186" s="8"/>
    </row>
    <row r="187" spans="1:9" ht="18">
      <c r="A187" s="196" t="s">
        <v>112</v>
      </c>
      <c r="B187" s="196"/>
      <c r="C187" s="197" t="str">
        <f>$C$13</f>
        <v>5.-6.9.2008</v>
      </c>
      <c r="D187" s="197"/>
      <c r="E187" s="197"/>
      <c r="F187" s="8"/>
      <c r="G187" s="8"/>
      <c r="H187" s="8"/>
      <c r="I187" s="8"/>
    </row>
    <row r="188" spans="1:9" ht="12.75">
      <c r="A188" s="8"/>
      <c r="B188" s="70"/>
      <c r="C188" s="8"/>
      <c r="D188" s="8"/>
      <c r="E188" s="8"/>
      <c r="F188" s="8"/>
      <c r="G188" s="8"/>
      <c r="H188" s="8"/>
      <c r="I188" s="8"/>
    </row>
    <row r="189" spans="1:9" ht="23.25">
      <c r="A189" s="196" t="s">
        <v>122</v>
      </c>
      <c r="B189" s="196"/>
      <c r="C189" s="201"/>
      <c r="D189" s="201"/>
      <c r="E189" s="201"/>
      <c r="F189" s="201"/>
      <c r="G189" s="201"/>
      <c r="H189" s="8"/>
      <c r="I189" s="8"/>
    </row>
    <row r="190" spans="1:9" ht="12.75">
      <c r="A190" s="8"/>
      <c r="B190" s="70"/>
      <c r="C190" s="8"/>
      <c r="D190" s="8"/>
      <c r="E190" s="8"/>
      <c r="F190" s="8"/>
      <c r="G190" s="8"/>
      <c r="H190" s="8"/>
      <c r="I190" s="8"/>
    </row>
    <row r="191" spans="1:9" ht="18">
      <c r="A191" s="196" t="s">
        <v>116</v>
      </c>
      <c r="B191" s="196"/>
      <c r="C191" s="199"/>
      <c r="D191" s="199"/>
      <c r="E191" s="199"/>
      <c r="F191" s="199"/>
      <c r="G191" s="199"/>
      <c r="H191" s="8"/>
      <c r="I191" s="8"/>
    </row>
    <row r="192" spans="1:9" ht="12.75">
      <c r="A192" s="8"/>
      <c r="B192" s="70"/>
      <c r="C192" s="8"/>
      <c r="D192" s="8"/>
      <c r="E192" s="8"/>
      <c r="F192" s="8"/>
      <c r="G192" s="8"/>
      <c r="H192" s="8"/>
      <c r="I192" s="8"/>
    </row>
    <row r="193" spans="1:9" ht="12.75">
      <c r="A193" s="8"/>
      <c r="B193" s="70"/>
      <c r="C193" s="8"/>
      <c r="D193" s="8"/>
      <c r="E193" s="8"/>
      <c r="F193" s="8"/>
      <c r="G193" s="8"/>
      <c r="H193" s="8"/>
      <c r="I193" s="8"/>
    </row>
    <row r="194" spans="1:9" ht="18">
      <c r="A194" s="8"/>
      <c r="B194" s="8"/>
      <c r="C194" s="72" t="s">
        <v>118</v>
      </c>
      <c r="D194" s="73">
        <f>$D$22</f>
        <v>40</v>
      </c>
      <c r="E194" s="8"/>
      <c r="F194" s="8"/>
      <c r="G194" s="8"/>
      <c r="H194" s="8"/>
      <c r="I194" s="8"/>
    </row>
    <row r="195" spans="1:9" ht="12.75">
      <c r="A195" s="8"/>
      <c r="B195" s="70"/>
      <c r="C195" s="8"/>
      <c r="D195" s="8"/>
      <c r="E195" s="8"/>
      <c r="F195" s="8"/>
      <c r="G195" s="8"/>
      <c r="H195" s="8"/>
      <c r="I195" s="8"/>
    </row>
    <row r="196" spans="1:9" ht="12.75">
      <c r="A196" s="8"/>
      <c r="B196" s="70"/>
      <c r="C196" s="8"/>
      <c r="D196" s="8"/>
      <c r="E196" s="8"/>
      <c r="F196" s="8"/>
      <c r="G196" s="8"/>
      <c r="H196" s="8"/>
      <c r="I196" s="8"/>
    </row>
    <row r="197" spans="1:9" ht="12.75">
      <c r="A197" s="8"/>
      <c r="B197" s="70"/>
      <c r="C197" s="8"/>
      <c r="D197" s="8"/>
      <c r="E197" s="8"/>
      <c r="F197" s="8"/>
      <c r="G197" s="8"/>
      <c r="H197" s="8"/>
      <c r="I197" s="8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8">
      <c r="A199" s="191" t="s">
        <v>119</v>
      </c>
      <c r="B199" s="191"/>
      <c r="C199" s="191"/>
      <c r="D199" s="191"/>
      <c r="E199" s="191"/>
      <c r="F199" s="8"/>
      <c r="G199" s="8"/>
      <c r="H199" s="8"/>
      <c r="I199" s="8"/>
    </row>
    <row r="200" spans="1:9" ht="18">
      <c r="A200" s="191" t="str">
        <f>$A$28</f>
        <v>Kokkolassa 4.11.2010</v>
      </c>
      <c r="B200" s="191"/>
      <c r="C200" s="191"/>
      <c r="D200" s="191"/>
      <c r="E200" s="191"/>
      <c r="F200" s="192"/>
      <c r="G200" s="192"/>
      <c r="H200" s="192"/>
      <c r="I200" s="192"/>
    </row>
    <row r="201" spans="1:9" ht="18">
      <c r="A201" s="8"/>
      <c r="B201" s="8"/>
      <c r="C201" s="8"/>
      <c r="D201" s="8"/>
      <c r="E201" s="8"/>
      <c r="F201" s="200" t="str">
        <f>$F$29</f>
        <v>Aimo Aivastus</v>
      </c>
      <c r="G201" s="200"/>
      <c r="H201" s="200"/>
      <c r="I201" s="200"/>
    </row>
    <row r="202" spans="1:9" ht="12.75">
      <c r="A202" s="8"/>
      <c r="B202" s="8"/>
      <c r="C202" s="8"/>
      <c r="D202" s="8"/>
      <c r="E202" s="8"/>
      <c r="F202" s="68"/>
      <c r="G202" s="68"/>
      <c r="H202" s="68"/>
      <c r="I202" s="68"/>
    </row>
    <row r="203" spans="1:9" ht="12.7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25.5">
      <c r="A204" s="8"/>
      <c r="B204" s="8"/>
      <c r="C204" s="8"/>
      <c r="D204" s="8"/>
      <c r="E204" s="8"/>
      <c r="F204" s="193" t="s">
        <v>108</v>
      </c>
      <c r="G204" s="115"/>
      <c r="H204" s="115"/>
      <c r="I204" s="8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2.7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2.7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26.25">
      <c r="A209" s="69" t="str">
        <f>$A$7</f>
        <v>Pyramidi RG1 Nevskaja, Kotka/KaKa</v>
      </c>
      <c r="B209" s="69"/>
      <c r="C209" s="69"/>
      <c r="D209" s="69"/>
      <c r="E209" s="69"/>
      <c r="F209" s="69"/>
      <c r="G209" s="68"/>
      <c r="H209" s="68"/>
      <c r="I209" s="8"/>
    </row>
    <row r="210" spans="1:9" ht="12.75">
      <c r="A210" s="194" t="s">
        <v>109</v>
      </c>
      <c r="B210" s="194"/>
      <c r="C210" s="195" t="str">
        <f>$C$8</f>
        <v>Pyriksen pelaajat ry.</v>
      </c>
      <c r="D210" s="195"/>
      <c r="E210" s="195"/>
      <c r="F210" s="8"/>
      <c r="G210" s="8"/>
      <c r="H210" s="8"/>
      <c r="I210" s="8"/>
    </row>
    <row r="211" spans="1:9" ht="12.75">
      <c r="A211" s="8"/>
      <c r="B211" s="70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70"/>
      <c r="C212" s="8"/>
      <c r="D212" s="8"/>
      <c r="E212" s="8"/>
      <c r="F212" s="8"/>
      <c r="G212" s="8"/>
      <c r="H212" s="8"/>
      <c r="I212" s="8"/>
    </row>
    <row r="213" spans="1:9" ht="18">
      <c r="A213" s="196" t="s">
        <v>111</v>
      </c>
      <c r="B213" s="196"/>
      <c r="C213" s="197" t="str">
        <f>$C$11</f>
        <v>Biljardisli</v>
      </c>
      <c r="D213" s="197"/>
      <c r="E213" s="197"/>
      <c r="F213" s="8"/>
      <c r="G213" s="8"/>
      <c r="H213" s="8"/>
      <c r="I213" s="8"/>
    </row>
    <row r="214" spans="1:9" ht="12.75">
      <c r="A214" s="8"/>
      <c r="B214" s="70"/>
      <c r="C214" s="8"/>
      <c r="D214" s="8"/>
      <c r="E214" s="8"/>
      <c r="F214" s="8"/>
      <c r="G214" s="8"/>
      <c r="H214" s="8"/>
      <c r="I214" s="8"/>
    </row>
    <row r="215" spans="1:9" ht="18">
      <c r="A215" s="196" t="s">
        <v>112</v>
      </c>
      <c r="B215" s="196"/>
      <c r="C215" s="197" t="str">
        <f>$C$13</f>
        <v>5.-6.9.2008</v>
      </c>
      <c r="D215" s="197"/>
      <c r="E215" s="197"/>
      <c r="F215" s="8"/>
      <c r="G215" s="8"/>
      <c r="H215" s="8"/>
      <c r="I215" s="8"/>
    </row>
    <row r="216" spans="1:9" ht="12.75">
      <c r="A216" s="8"/>
      <c r="B216" s="70"/>
      <c r="C216" s="8"/>
      <c r="D216" s="8"/>
      <c r="E216" s="8"/>
      <c r="F216" s="8"/>
      <c r="G216" s="8"/>
      <c r="H216" s="8"/>
      <c r="I216" s="8"/>
    </row>
    <row r="217" spans="1:9" ht="23.25">
      <c r="A217" s="196" t="s">
        <v>122</v>
      </c>
      <c r="B217" s="196"/>
      <c r="C217" s="201"/>
      <c r="D217" s="201"/>
      <c r="E217" s="201"/>
      <c r="F217" s="201"/>
      <c r="G217" s="201"/>
      <c r="H217" s="8"/>
      <c r="I217" s="8"/>
    </row>
    <row r="218" spans="1:9" ht="12.75">
      <c r="A218" s="8"/>
      <c r="B218" s="70"/>
      <c r="C218" s="8"/>
      <c r="D218" s="8"/>
      <c r="E218" s="8"/>
      <c r="F218" s="8"/>
      <c r="G218" s="8"/>
      <c r="H218" s="8"/>
      <c r="I218" s="8"/>
    </row>
    <row r="219" spans="1:9" ht="18">
      <c r="A219" s="196" t="s">
        <v>116</v>
      </c>
      <c r="B219" s="196"/>
      <c r="C219" s="199"/>
      <c r="D219" s="199"/>
      <c r="E219" s="199"/>
      <c r="F219" s="199"/>
      <c r="G219" s="199"/>
      <c r="H219" s="8"/>
      <c r="I219" s="8"/>
    </row>
    <row r="220" spans="1:9" ht="12.75">
      <c r="A220" s="8"/>
      <c r="B220" s="70"/>
      <c r="C220" s="8"/>
      <c r="D220" s="8"/>
      <c r="E220" s="8"/>
      <c r="F220" s="8"/>
      <c r="G220" s="8"/>
      <c r="H220" s="8"/>
      <c r="I220" s="8"/>
    </row>
    <row r="221" spans="1:9" ht="12.75">
      <c r="A221" s="8"/>
      <c r="B221" s="70"/>
      <c r="C221" s="8"/>
      <c r="D221" s="8"/>
      <c r="E221" s="8"/>
      <c r="F221" s="8"/>
      <c r="G221" s="8"/>
      <c r="H221" s="8"/>
      <c r="I221" s="8"/>
    </row>
    <row r="222" spans="1:9" ht="18">
      <c r="A222" s="8"/>
      <c r="B222" s="8"/>
      <c r="C222" s="72" t="s">
        <v>118</v>
      </c>
      <c r="D222" s="73">
        <f>$D$22</f>
        <v>40</v>
      </c>
      <c r="E222" s="8"/>
      <c r="F222" s="8"/>
      <c r="G222" s="8"/>
      <c r="H222" s="8"/>
      <c r="I222" s="8"/>
    </row>
    <row r="223" spans="1:9" ht="12.75">
      <c r="A223" s="8"/>
      <c r="B223" s="70"/>
      <c r="C223" s="8"/>
      <c r="D223" s="8"/>
      <c r="E223" s="8"/>
      <c r="F223" s="8"/>
      <c r="G223" s="8"/>
      <c r="H223" s="8"/>
      <c r="I223" s="8"/>
    </row>
    <row r="224" spans="1:9" ht="12.75">
      <c r="A224" s="8"/>
      <c r="B224" s="70"/>
      <c r="C224" s="8"/>
      <c r="D224" s="8"/>
      <c r="E224" s="8"/>
      <c r="F224" s="8"/>
      <c r="G224" s="8"/>
      <c r="H224" s="8"/>
      <c r="I224" s="8"/>
    </row>
    <row r="225" spans="1:9" ht="12.75">
      <c r="A225" s="8"/>
      <c r="B225" s="70"/>
      <c r="C225" s="8"/>
      <c r="D225" s="8"/>
      <c r="E225" s="8"/>
      <c r="F225" s="8"/>
      <c r="G225" s="8"/>
      <c r="H225" s="8"/>
      <c r="I225" s="8"/>
    </row>
    <row r="226" spans="1:9" ht="12.7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8">
      <c r="A227" s="191" t="s">
        <v>119</v>
      </c>
      <c r="B227" s="191"/>
      <c r="C227" s="191"/>
      <c r="D227" s="191"/>
      <c r="E227" s="191"/>
      <c r="F227" s="8"/>
      <c r="G227" s="8"/>
      <c r="H227" s="8"/>
      <c r="I227" s="8"/>
    </row>
    <row r="228" spans="1:9" ht="18">
      <c r="A228" s="191" t="str">
        <f>$A$28</f>
        <v>Kokkolassa 4.11.2010</v>
      </c>
      <c r="B228" s="191"/>
      <c r="C228" s="191"/>
      <c r="D228" s="191"/>
      <c r="E228" s="191"/>
      <c r="F228" s="192"/>
      <c r="G228" s="192"/>
      <c r="H228" s="192"/>
      <c r="I228" s="192"/>
    </row>
    <row r="229" spans="1:9" ht="18">
      <c r="A229" s="8"/>
      <c r="B229" s="8"/>
      <c r="C229" s="8"/>
      <c r="D229" s="8"/>
      <c r="E229" s="8"/>
      <c r="F229" s="200" t="str">
        <f>$F$29</f>
        <v>Aimo Aivastus</v>
      </c>
      <c r="G229" s="200"/>
      <c r="H229" s="200"/>
      <c r="I229" s="200"/>
    </row>
    <row r="230" spans="1:9" ht="12.75">
      <c r="A230" s="8"/>
      <c r="B230" s="8"/>
      <c r="C230" s="8"/>
      <c r="D230" s="8"/>
      <c r="E230" s="8"/>
      <c r="F230" s="68"/>
      <c r="G230" s="68"/>
      <c r="H230" s="68"/>
      <c r="I230" s="68"/>
    </row>
  </sheetData>
  <sheetProtection/>
  <mergeCells count="120">
    <mergeCell ref="A227:E227"/>
    <mergeCell ref="A228:E228"/>
    <mergeCell ref="F228:I228"/>
    <mergeCell ref="F229:I229"/>
    <mergeCell ref="A219:B219"/>
    <mergeCell ref="C219:G219"/>
    <mergeCell ref="A210:B210"/>
    <mergeCell ref="C210:E210"/>
    <mergeCell ref="A213:B213"/>
    <mergeCell ref="C213:E213"/>
    <mergeCell ref="A217:B217"/>
    <mergeCell ref="C217:G217"/>
    <mergeCell ref="A215:B215"/>
    <mergeCell ref="C215:E215"/>
    <mergeCell ref="A187:B187"/>
    <mergeCell ref="C187:E187"/>
    <mergeCell ref="A189:B189"/>
    <mergeCell ref="C189:G189"/>
    <mergeCell ref="A191:B191"/>
    <mergeCell ref="C191:G191"/>
    <mergeCell ref="F201:I201"/>
    <mergeCell ref="F204:H204"/>
    <mergeCell ref="A172:E172"/>
    <mergeCell ref="F172:I172"/>
    <mergeCell ref="A199:E199"/>
    <mergeCell ref="A200:E200"/>
    <mergeCell ref="F200:I200"/>
    <mergeCell ref="F176:H176"/>
    <mergeCell ref="A182:B182"/>
    <mergeCell ref="C182:E182"/>
    <mergeCell ref="A185:B185"/>
    <mergeCell ref="C185:E185"/>
    <mergeCell ref="F173:I173"/>
    <mergeCell ref="A157:B157"/>
    <mergeCell ref="C157:E157"/>
    <mergeCell ref="A159:B159"/>
    <mergeCell ref="C159:E159"/>
    <mergeCell ref="A161:B161"/>
    <mergeCell ref="C161:G161"/>
    <mergeCell ref="A163:B163"/>
    <mergeCell ref="C163:G163"/>
    <mergeCell ref="A171:E171"/>
    <mergeCell ref="A135:B135"/>
    <mergeCell ref="C135:G135"/>
    <mergeCell ref="A143:E143"/>
    <mergeCell ref="A144:E144"/>
    <mergeCell ref="F144:I144"/>
    <mergeCell ref="F145:I145"/>
    <mergeCell ref="F120:H120"/>
    <mergeCell ref="A126:B126"/>
    <mergeCell ref="C126:E126"/>
    <mergeCell ref="F148:H148"/>
    <mergeCell ref="A154:B154"/>
    <mergeCell ref="C154:E154"/>
    <mergeCell ref="A131:B131"/>
    <mergeCell ref="C131:E131"/>
    <mergeCell ref="A133:B133"/>
    <mergeCell ref="C133:G133"/>
    <mergeCell ref="A129:B129"/>
    <mergeCell ref="C129:E129"/>
    <mergeCell ref="A105:B105"/>
    <mergeCell ref="C105:G105"/>
    <mergeCell ref="A107:B107"/>
    <mergeCell ref="C107:G107"/>
    <mergeCell ref="A115:E115"/>
    <mergeCell ref="A116:E116"/>
    <mergeCell ref="F116:I116"/>
    <mergeCell ref="F117:I117"/>
    <mergeCell ref="F89:I89"/>
    <mergeCell ref="F92:H92"/>
    <mergeCell ref="A98:B98"/>
    <mergeCell ref="C98:E98"/>
    <mergeCell ref="A101:B101"/>
    <mergeCell ref="C101:E101"/>
    <mergeCell ref="C71:E71"/>
    <mergeCell ref="A73:B73"/>
    <mergeCell ref="C73:E73"/>
    <mergeCell ref="A103:B103"/>
    <mergeCell ref="C103:E103"/>
    <mergeCell ref="A79:B79"/>
    <mergeCell ref="C79:G79"/>
    <mergeCell ref="A87:E87"/>
    <mergeCell ref="A88:E88"/>
    <mergeCell ref="F88:I88"/>
    <mergeCell ref="A75:B75"/>
    <mergeCell ref="C75:I77"/>
    <mergeCell ref="A57:E57"/>
    <mergeCell ref="A58:E58"/>
    <mergeCell ref="F58:I58"/>
    <mergeCell ref="F59:I59"/>
    <mergeCell ref="F62:H62"/>
    <mergeCell ref="A68:B68"/>
    <mergeCell ref="C68:E68"/>
    <mergeCell ref="A71:B71"/>
    <mergeCell ref="A41:B41"/>
    <mergeCell ref="C41:E41"/>
    <mergeCell ref="A43:B43"/>
    <mergeCell ref="C43:E43"/>
    <mergeCell ref="A45:B45"/>
    <mergeCell ref="C45:I47"/>
    <mergeCell ref="A15:B15"/>
    <mergeCell ref="C15:I17"/>
    <mergeCell ref="A19:B19"/>
    <mergeCell ref="C19:G19"/>
    <mergeCell ref="A49:B49"/>
    <mergeCell ref="C49:G49"/>
    <mergeCell ref="F29:I29"/>
    <mergeCell ref="F32:H32"/>
    <mergeCell ref="A38:B38"/>
    <mergeCell ref="C38:E38"/>
    <mergeCell ref="A27:E27"/>
    <mergeCell ref="A28:E28"/>
    <mergeCell ref="F28:I28"/>
    <mergeCell ref="F2:H2"/>
    <mergeCell ref="A8:B8"/>
    <mergeCell ref="C8:E8"/>
    <mergeCell ref="A11:B11"/>
    <mergeCell ref="C11:E11"/>
    <mergeCell ref="A13:B13"/>
    <mergeCell ref="C13:E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PageLayoutView="0" workbookViewId="0" topLeftCell="A1">
      <selection activeCell="J6" sqref="J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Pentti Sipola</dc:creator>
  <cp:keywords/>
  <dc:description/>
  <cp:lastModifiedBy>psi</cp:lastModifiedBy>
  <cp:lastPrinted>2015-10-21T13:10:54Z</cp:lastPrinted>
  <dcterms:created xsi:type="dcterms:W3CDTF">2010-10-17T07:58:16Z</dcterms:created>
  <dcterms:modified xsi:type="dcterms:W3CDTF">2016-03-14T07:54:54Z</dcterms:modified>
  <cp:category/>
  <cp:version/>
  <cp:contentType/>
  <cp:contentStatus/>
</cp:coreProperties>
</file>