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ko.rasanen\Desktop\Urakkalaskuri päivitys 18.8.2023\Ilma\"/>
    </mc:Choice>
  </mc:AlternateContent>
  <xr:revisionPtr revIDLastSave="0" documentId="13_ncr:1_{5B8DD7E2-5301-43C0-B5EB-1E301FEE3F40}" xr6:coauthVersionLast="47" xr6:coauthVersionMax="47" xr10:uidLastSave="{00000000-0000-0000-0000-000000000000}"/>
  <bookViews>
    <workbookView xWindow="-110" yWindow="-110" windowWidth="19420" windowHeight="10420" tabRatio="970" xr2:uid="{00000000-000D-0000-FFFF-FFFF00000000}"/>
  </bookViews>
  <sheets>
    <sheet name="Etusivu" sheetId="10" r:id="rId1"/>
    <sheet name="Pyöreät kanavat ja osat" sheetId="14" r:id="rId2"/>
    <sheet name="Suorakaidekanavat" sheetId="12" r:id="rId3"/>
    <sheet name="Venttiilit" sheetId="9" r:id="rId4"/>
    <sheet name="Ilmanvaihtokoneet" sheetId="7" r:id="rId5"/>
    <sheet name="Pienkojeet" sheetId="2" r:id="rId6"/>
    <sheet name="Aksiaalipuhaltimet" sheetId="15" r:id="rId7"/>
    <sheet name="Lyhenteitä" sheetId="1" r:id="rId8"/>
    <sheet name="Urakkatunnit" sheetId="17" r:id="rId9"/>
    <sheet name="Välipohjat" sheetId="18" r:id="rId10"/>
    <sheet name="NHK muuttuu kesken urakan" sheetId="19" r:id="rId11"/>
    <sheet name="Etumieslisä" sheetId="20" r:id="rId12"/>
    <sheet name="Jakolista" sheetId="21" r:id="rId13"/>
  </sheets>
  <definedNames>
    <definedName name="_xlnm.Print_Area" localSheetId="6">Aksiaalipuhaltimet!$A$1:$Q$155</definedName>
    <definedName name="_xlnm.Print_Area" localSheetId="11">Etumieslisä!$A$1:$N$42</definedName>
    <definedName name="_xlnm.Print_Area" localSheetId="0">Etusivu!$A$33:$S$582</definedName>
    <definedName name="_xlnm.Print_Area" localSheetId="4">Ilmanvaihtokoneet!$A$1:$Q$83</definedName>
    <definedName name="_xlnm.Print_Area" localSheetId="12">Jakolista!$A$1:$N$49</definedName>
    <definedName name="_xlnm.Print_Area" localSheetId="10">'NHK muuttuu kesken urakan'!$A$1:$N$34</definedName>
    <definedName name="_xlnm.Print_Area" localSheetId="5">Pienkojeet!$A$1:$R$93</definedName>
    <definedName name="_xlnm.Print_Area" localSheetId="1">'Pyöreät kanavat ja osat'!$A$1:$R$190</definedName>
    <definedName name="_xlnm.Print_Area" localSheetId="2">Suorakaidekanavat!$A$1:$Q$116</definedName>
    <definedName name="_xlnm.Print_Area" localSheetId="8">Urakkatunnit!$A$1:$K$42</definedName>
    <definedName name="_xlnm.Print_Area" localSheetId="3">Venttiilit!$A$1:$Q$123</definedName>
    <definedName name="_xlnm.Print_Area" localSheetId="9">Välipohjat!$A$1:$N$42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84" i="2" l="1"/>
  <c r="Q84" i="2" s="1"/>
  <c r="Q335" i="10" s="1"/>
  <c r="R335" i="10" s="1"/>
  <c r="O85" i="2"/>
  <c r="Q85" i="2" s="1"/>
  <c r="Q336" i="10" s="1"/>
  <c r="R336" i="10" s="1"/>
  <c r="O68" i="2"/>
  <c r="Q68" i="2" s="1"/>
  <c r="N335" i="10" s="1"/>
  <c r="O335" i="10" s="1"/>
  <c r="O69" i="2"/>
  <c r="Q69" i="2" s="1"/>
  <c r="N336" i="10" s="1"/>
  <c r="O336" i="10" s="1"/>
  <c r="Q117" i="12"/>
  <c r="Q147" i="10" s="1"/>
  <c r="R147" i="10" s="1"/>
  <c r="Q158" i="14"/>
  <c r="Q118" i="10" s="1"/>
  <c r="R118" i="10" s="1"/>
  <c r="S451" i="10" l="1"/>
  <c r="J451" i="10"/>
  <c r="S450" i="10"/>
  <c r="J450" i="10"/>
  <c r="S449" i="10"/>
  <c r="J449" i="10"/>
  <c r="S448" i="10"/>
  <c r="J448" i="10"/>
  <c r="S447" i="10"/>
  <c r="J447" i="10"/>
  <c r="S446" i="10"/>
  <c r="J446" i="10"/>
  <c r="S445" i="10"/>
  <c r="J445" i="10"/>
  <c r="S444" i="10"/>
  <c r="J444" i="10"/>
  <c r="S443" i="10"/>
  <c r="J443" i="10"/>
  <c r="S442" i="10"/>
  <c r="J442" i="10"/>
  <c r="S441" i="10"/>
  <c r="J441" i="10"/>
  <c r="S440" i="10"/>
  <c r="J440" i="10"/>
  <c r="S439" i="10"/>
  <c r="J439" i="10"/>
  <c r="S438" i="10"/>
  <c r="J438" i="10"/>
  <c r="S437" i="10"/>
  <c r="J437" i="10"/>
  <c r="S436" i="10"/>
  <c r="J436" i="10"/>
  <c r="S435" i="10"/>
  <c r="J435" i="10"/>
  <c r="S434" i="10"/>
  <c r="J434" i="10"/>
  <c r="S433" i="10"/>
  <c r="J433" i="10"/>
  <c r="S432" i="10"/>
  <c r="J432" i="10"/>
  <c r="S431" i="10"/>
  <c r="J431" i="10"/>
  <c r="S430" i="10"/>
  <c r="J430" i="10"/>
  <c r="S429" i="10"/>
  <c r="J429" i="10"/>
  <c r="S428" i="10"/>
  <c r="J428" i="10"/>
  <c r="S427" i="10"/>
  <c r="J427" i="10"/>
  <c r="S426" i="10"/>
  <c r="J426" i="10"/>
  <c r="S425" i="10"/>
  <c r="J425" i="10"/>
  <c r="S424" i="10"/>
  <c r="J424" i="10"/>
  <c r="S423" i="10"/>
  <c r="J423" i="10"/>
  <c r="S422" i="10"/>
  <c r="J422" i="10"/>
  <c r="S421" i="10"/>
  <c r="J421" i="10"/>
  <c r="S420" i="10"/>
  <c r="J420" i="10"/>
  <c r="S419" i="10"/>
  <c r="J419" i="10"/>
  <c r="S418" i="10"/>
  <c r="J418" i="10"/>
  <c r="J463" i="10"/>
  <c r="S463" i="10"/>
  <c r="J464" i="10"/>
  <c r="S464" i="10"/>
  <c r="J465" i="10"/>
  <c r="S465" i="10"/>
  <c r="J466" i="10"/>
  <c r="S466" i="10"/>
  <c r="J467" i="10"/>
  <c r="S467" i="10"/>
  <c r="J468" i="10"/>
  <c r="S468" i="10"/>
  <c r="J469" i="10"/>
  <c r="S469" i="10"/>
  <c r="J470" i="10"/>
  <c r="S470" i="10"/>
  <c r="J471" i="10"/>
  <c r="S471" i="10"/>
  <c r="J472" i="10"/>
  <c r="S472" i="10"/>
  <c r="J473" i="10"/>
  <c r="S473" i="10"/>
  <c r="J474" i="10"/>
  <c r="S474" i="10"/>
  <c r="J475" i="10"/>
  <c r="S475" i="10"/>
  <c r="J476" i="10"/>
  <c r="S476" i="10"/>
  <c r="J477" i="10"/>
  <c r="S477" i="10"/>
  <c r="J478" i="10"/>
  <c r="S478" i="10"/>
  <c r="J479" i="10"/>
  <c r="S479" i="10"/>
  <c r="O191" i="14"/>
  <c r="Q191" i="14" s="1"/>
  <c r="M127" i="10" s="1"/>
  <c r="O39" i="2"/>
  <c r="Q39" i="2" s="1"/>
  <c r="F335" i="10" s="1"/>
  <c r="G335" i="10" s="1"/>
  <c r="O38" i="2"/>
  <c r="Q38" i="2" s="1"/>
  <c r="F334" i="10" s="1"/>
  <c r="G334" i="10" s="1"/>
  <c r="O37" i="2"/>
  <c r="Q37" i="2" s="1"/>
  <c r="F333" i="10" s="1"/>
  <c r="G333" i="10" s="1"/>
  <c r="O36" i="2"/>
  <c r="Q36" i="2" s="1"/>
  <c r="F332" i="10" s="1"/>
  <c r="G332" i="10" s="1"/>
  <c r="O35" i="2"/>
  <c r="Q35" i="2" s="1"/>
  <c r="F331" i="10" s="1"/>
  <c r="G331" i="10" s="1"/>
  <c r="O34" i="2"/>
  <c r="Q34" i="2" s="1"/>
  <c r="F330" i="10" s="1"/>
  <c r="G330" i="10" s="1"/>
  <c r="J452" i="10" l="1"/>
  <c r="S452" i="10"/>
  <c r="R454" i="10" s="1"/>
  <c r="G337" i="10"/>
  <c r="O77" i="2"/>
  <c r="Q328" i="10" s="1"/>
  <c r="R328" i="10" s="1"/>
  <c r="O78" i="2"/>
  <c r="Q329" i="10" s="1"/>
  <c r="R329" i="10" s="1"/>
  <c r="O79" i="2"/>
  <c r="Q79" i="2" s="1"/>
  <c r="O80" i="2"/>
  <c r="Q331" i="10" s="1"/>
  <c r="R331" i="10" s="1"/>
  <c r="O81" i="2"/>
  <c r="Q332" i="10" s="1"/>
  <c r="R332" i="10" s="1"/>
  <c r="O82" i="2"/>
  <c r="Q82" i="2" s="1"/>
  <c r="O83" i="2"/>
  <c r="O76" i="2"/>
  <c r="Q327" i="10" s="1"/>
  <c r="R327" i="10" s="1"/>
  <c r="O60" i="2"/>
  <c r="Q60" i="2" s="1"/>
  <c r="N327" i="10" s="1"/>
  <c r="O327" i="10" s="1"/>
  <c r="O67" i="2"/>
  <c r="Q67" i="2" s="1"/>
  <c r="N334" i="10" s="1"/>
  <c r="O334" i="10" s="1"/>
  <c r="O66" i="2"/>
  <c r="Q66" i="2" s="1"/>
  <c r="N333" i="10" s="1"/>
  <c r="O333" i="10" s="1"/>
  <c r="O65" i="2"/>
  <c r="Q65" i="2" s="1"/>
  <c r="N332" i="10" s="1"/>
  <c r="O332" i="10" s="1"/>
  <c r="O64" i="2"/>
  <c r="Q64" i="2" s="1"/>
  <c r="N331" i="10" s="1"/>
  <c r="O331" i="10" s="1"/>
  <c r="O63" i="2"/>
  <c r="Q63" i="2" s="1"/>
  <c r="N330" i="10" s="1"/>
  <c r="O330" i="10" s="1"/>
  <c r="O62" i="2"/>
  <c r="Q62" i="2" s="1"/>
  <c r="N329" i="10" s="1"/>
  <c r="O329" i="10" s="1"/>
  <c r="O61" i="2"/>
  <c r="Q61" i="2" s="1"/>
  <c r="N328" i="10" s="1"/>
  <c r="O328" i="10" s="1"/>
  <c r="F35" i="17"/>
  <c r="E8" i="19"/>
  <c r="B17" i="19" s="1"/>
  <c r="G13" i="20"/>
  <c r="I13" i="20"/>
  <c r="G12" i="20"/>
  <c r="I12" i="20" s="1"/>
  <c r="G11" i="20"/>
  <c r="I11" i="20"/>
  <c r="G10" i="20"/>
  <c r="I10" i="20" s="1"/>
  <c r="M23" i="18"/>
  <c r="H29" i="21"/>
  <c r="M24" i="18"/>
  <c r="H30" i="21" s="1"/>
  <c r="M25" i="18"/>
  <c r="H31" i="21"/>
  <c r="M22" i="18"/>
  <c r="H28" i="21" s="1"/>
  <c r="M9" i="18"/>
  <c r="H14" i="21" s="1"/>
  <c r="J14" i="21" s="1"/>
  <c r="M10" i="18"/>
  <c r="H15" i="21" s="1"/>
  <c r="M11" i="18"/>
  <c r="H16" i="21" s="1"/>
  <c r="M12" i="18"/>
  <c r="H17" i="21"/>
  <c r="M13" i="18"/>
  <c r="H18" i="21" s="1"/>
  <c r="M14" i="18"/>
  <c r="H19" i="21"/>
  <c r="J19" i="21"/>
  <c r="M15" i="18"/>
  <c r="H20" i="21"/>
  <c r="M16" i="18"/>
  <c r="H21" i="21"/>
  <c r="M17" i="18"/>
  <c r="H22" i="21"/>
  <c r="M18" i="18"/>
  <c r="H23" i="21"/>
  <c r="M19" i="18"/>
  <c r="H24" i="21" s="1"/>
  <c r="M20" i="18"/>
  <c r="H25" i="21" s="1"/>
  <c r="M21" i="18"/>
  <c r="H26" i="21" s="1"/>
  <c r="A23" i="18"/>
  <c r="A24" i="18"/>
  <c r="A25" i="18"/>
  <c r="A22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G9" i="20"/>
  <c r="I9" i="20" s="1"/>
  <c r="G8" i="20"/>
  <c r="I8" i="20" s="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8" i="21"/>
  <c r="A29" i="21"/>
  <c r="A30" i="21"/>
  <c r="A31" i="21"/>
  <c r="H11" i="17"/>
  <c r="H12" i="17"/>
  <c r="D14" i="21"/>
  <c r="F14" i="21"/>
  <c r="H13" i="17"/>
  <c r="D15" i="21" s="1"/>
  <c r="F15" i="21" s="1"/>
  <c r="H14" i="17"/>
  <c r="D16" i="21"/>
  <c r="F16" i="21" s="1"/>
  <c r="H15" i="17"/>
  <c r="D17" i="21" s="1"/>
  <c r="F17" i="21" s="1"/>
  <c r="H16" i="17"/>
  <c r="D18" i="21"/>
  <c r="F18" i="21" s="1"/>
  <c r="H17" i="17"/>
  <c r="D19" i="21" s="1"/>
  <c r="F19" i="21"/>
  <c r="H18" i="17"/>
  <c r="D20" i="21" s="1"/>
  <c r="F20" i="21" s="1"/>
  <c r="H19" i="17"/>
  <c r="D21" i="21"/>
  <c r="F21" i="21" s="1"/>
  <c r="H20" i="17"/>
  <c r="D22" i="21"/>
  <c r="F22" i="21"/>
  <c r="H21" i="17"/>
  <c r="D23" i="21" s="1"/>
  <c r="F23" i="21" s="1"/>
  <c r="H22" i="17"/>
  <c r="D24" i="21"/>
  <c r="F24" i="21" s="1"/>
  <c r="H23" i="17"/>
  <c r="D25" i="21" s="1"/>
  <c r="F25" i="21" s="1"/>
  <c r="H24" i="17"/>
  <c r="D26" i="21"/>
  <c r="F26" i="21" s="1"/>
  <c r="H26" i="17"/>
  <c r="D28" i="21" s="1"/>
  <c r="F28" i="21"/>
  <c r="H27" i="17"/>
  <c r="D29" i="21" s="1"/>
  <c r="F29" i="21" s="1"/>
  <c r="H28" i="17"/>
  <c r="D30" i="21"/>
  <c r="F30" i="21" s="1"/>
  <c r="H29" i="17"/>
  <c r="D31" i="21"/>
  <c r="F31" i="21"/>
  <c r="I11" i="17"/>
  <c r="G13" i="21" s="1"/>
  <c r="I12" i="17"/>
  <c r="G14" i="21"/>
  <c r="I13" i="17"/>
  <c r="G15" i="21" s="1"/>
  <c r="J15" i="21" s="1"/>
  <c r="I14" i="17"/>
  <c r="G16" i="21" s="1"/>
  <c r="J16" i="21" s="1"/>
  <c r="I15" i="17"/>
  <c r="G17" i="21"/>
  <c r="I16" i="17"/>
  <c r="G18" i="21"/>
  <c r="I17" i="17"/>
  <c r="G19" i="21"/>
  <c r="I18" i="17"/>
  <c r="G20" i="21" s="1"/>
  <c r="I19" i="17"/>
  <c r="G21" i="21"/>
  <c r="I20" i="17"/>
  <c r="G22" i="21" s="1"/>
  <c r="J22" i="21" s="1"/>
  <c r="I21" i="17"/>
  <c r="G23" i="21" s="1"/>
  <c r="J23" i="21" s="1"/>
  <c r="I22" i="17"/>
  <c r="G24" i="21" s="1"/>
  <c r="I23" i="17"/>
  <c r="G25" i="21"/>
  <c r="I24" i="17"/>
  <c r="G26" i="21" s="1"/>
  <c r="I26" i="17"/>
  <c r="G28" i="21"/>
  <c r="I27" i="17"/>
  <c r="G29" i="21"/>
  <c r="J29" i="21"/>
  <c r="I28" i="17"/>
  <c r="G30" i="21" s="1"/>
  <c r="I29" i="17"/>
  <c r="G31" i="21" s="1"/>
  <c r="J31" i="21" s="1"/>
  <c r="D34" i="21"/>
  <c r="D35" i="21"/>
  <c r="D36" i="21"/>
  <c r="D33" i="21"/>
  <c r="A34" i="21"/>
  <c r="A35" i="21"/>
  <c r="A36" i="21"/>
  <c r="A33" i="21"/>
  <c r="I32" i="17"/>
  <c r="J34" i="21"/>
  <c r="H31" i="17"/>
  <c r="H32" i="17"/>
  <c r="I31" i="17"/>
  <c r="J33" i="21"/>
  <c r="H33" i="17"/>
  <c r="H34" i="17"/>
  <c r="I33" i="17"/>
  <c r="J35" i="21"/>
  <c r="I34" i="17"/>
  <c r="O147" i="15"/>
  <c r="Q147" i="15" s="1"/>
  <c r="L377" i="10" s="1"/>
  <c r="M377" i="10" s="1"/>
  <c r="O146" i="15"/>
  <c r="Q146" i="15" s="1"/>
  <c r="L376" i="10" s="1"/>
  <c r="M376" i="10" s="1"/>
  <c r="O137" i="15"/>
  <c r="Q137" i="15" s="1"/>
  <c r="I377" i="10" s="1"/>
  <c r="J377" i="10" s="1"/>
  <c r="O136" i="15"/>
  <c r="Q136" i="15" s="1"/>
  <c r="I376" i="10" s="1"/>
  <c r="J376" i="10" s="1"/>
  <c r="O125" i="9"/>
  <c r="Q125" i="9" s="1"/>
  <c r="F252" i="10"/>
  <c r="G252" i="10" s="1"/>
  <c r="O124" i="9"/>
  <c r="Q124" i="9" s="1"/>
  <c r="F251" i="10"/>
  <c r="G251" i="10" s="1"/>
  <c r="O123" i="9"/>
  <c r="Q123" i="9" s="1"/>
  <c r="F250" i="10" s="1"/>
  <c r="G250" i="10" s="1"/>
  <c r="O122" i="9"/>
  <c r="Q122" i="9" s="1"/>
  <c r="F249" i="10" s="1"/>
  <c r="G249" i="10" s="1"/>
  <c r="O121" i="9"/>
  <c r="Q121" i="9" s="1"/>
  <c r="F248" i="10"/>
  <c r="G248" i="10" s="1"/>
  <c r="O120" i="9"/>
  <c r="Q120" i="9" s="1"/>
  <c r="F247" i="10"/>
  <c r="G247" i="10" s="1"/>
  <c r="O119" i="9"/>
  <c r="Q119" i="9" s="1"/>
  <c r="F246" i="10" s="1"/>
  <c r="G246" i="10" s="1"/>
  <c r="O118" i="9"/>
  <c r="Q118" i="9" s="1"/>
  <c r="F245" i="10" s="1"/>
  <c r="G245" i="10" s="1"/>
  <c r="O117" i="9"/>
  <c r="Q117" i="9" s="1"/>
  <c r="F244" i="10"/>
  <c r="G244" i="10" s="1"/>
  <c r="O152" i="14"/>
  <c r="Q152" i="14" s="1"/>
  <c r="R99" i="10" s="1"/>
  <c r="S99" i="10" s="1"/>
  <c r="O151" i="14"/>
  <c r="Q151" i="14" s="1"/>
  <c r="R98" i="10" s="1"/>
  <c r="S98" i="10" s="1"/>
  <c r="O150" i="14"/>
  <c r="Q150" i="14" s="1"/>
  <c r="R97" i="10" s="1"/>
  <c r="S97" i="10" s="1"/>
  <c r="O149" i="14"/>
  <c r="Q149" i="14" s="1"/>
  <c r="R96" i="10" s="1"/>
  <c r="S96" i="10" s="1"/>
  <c r="O148" i="14"/>
  <c r="Q148" i="14" s="1"/>
  <c r="R95" i="10" s="1"/>
  <c r="S95" i="10" s="1"/>
  <c r="O147" i="14"/>
  <c r="Q147" i="14" s="1"/>
  <c r="R94" i="10" s="1"/>
  <c r="S94" i="10" s="1"/>
  <c r="O146" i="14"/>
  <c r="Q146" i="14" s="1"/>
  <c r="R93" i="10" s="1"/>
  <c r="S93" i="10" s="1"/>
  <c r="O145" i="14"/>
  <c r="Q145" i="14" s="1"/>
  <c r="R92" i="10" s="1"/>
  <c r="S92" i="10" s="1"/>
  <c r="O144" i="14"/>
  <c r="Q144" i="14" s="1"/>
  <c r="R91" i="10" s="1"/>
  <c r="S91" i="10" s="1"/>
  <c r="O143" i="14"/>
  <c r="Q143" i="14" s="1"/>
  <c r="R90" i="10" s="1"/>
  <c r="S90" i="10" s="1"/>
  <c r="O165" i="14"/>
  <c r="Q165" i="14" s="1"/>
  <c r="F118" i="10" s="1"/>
  <c r="G118" i="10" s="1"/>
  <c r="O166" i="14"/>
  <c r="Q166" i="14" s="1"/>
  <c r="F120" i="10" s="1"/>
  <c r="G120" i="10" s="1"/>
  <c r="O168" i="14"/>
  <c r="Q168" i="14" s="1"/>
  <c r="F119" i="10" s="1"/>
  <c r="G119" i="10" s="1"/>
  <c r="O169" i="14"/>
  <c r="Q169" i="14" s="1"/>
  <c r="F121" i="10" s="1"/>
  <c r="G121" i="10" s="1"/>
  <c r="S496" i="10"/>
  <c r="O99" i="2"/>
  <c r="Q99" i="2" s="1"/>
  <c r="P316" i="10" s="1"/>
  <c r="Q316" i="10" s="1"/>
  <c r="Q318" i="10" s="1"/>
  <c r="O53" i="2"/>
  <c r="Q53" i="2" s="1"/>
  <c r="J336" i="10" s="1"/>
  <c r="K336" i="10" s="1"/>
  <c r="O52" i="2"/>
  <c r="Q52" i="2" s="1"/>
  <c r="J335" i="10" s="1"/>
  <c r="K335" i="10" s="1"/>
  <c r="O51" i="2"/>
  <c r="Q51" i="2" s="1"/>
  <c r="J334" i="10" s="1"/>
  <c r="K334" i="10" s="1"/>
  <c r="O50" i="2"/>
  <c r="Q50" i="2" s="1"/>
  <c r="J333" i="10" s="1"/>
  <c r="K333" i="10" s="1"/>
  <c r="O49" i="2"/>
  <c r="Q49" i="2" s="1"/>
  <c r="J332" i="10" s="1"/>
  <c r="K332" i="10" s="1"/>
  <c r="O48" i="2"/>
  <c r="Q48" i="2" s="1"/>
  <c r="J331" i="10" s="1"/>
  <c r="K331" i="10" s="1"/>
  <c r="O47" i="2"/>
  <c r="Q47" i="2" s="1"/>
  <c r="J330" i="10" s="1"/>
  <c r="K330" i="10" s="1"/>
  <c r="O46" i="2"/>
  <c r="Q46" i="2" s="1"/>
  <c r="J329" i="10" s="1"/>
  <c r="K329" i="10" s="1"/>
  <c r="O15" i="2"/>
  <c r="Q15" i="2" s="1"/>
  <c r="I315" i="10" s="1"/>
  <c r="J315" i="10" s="1"/>
  <c r="O14" i="2"/>
  <c r="Q14" i="2" s="1"/>
  <c r="I314" i="10" s="1"/>
  <c r="J314" i="10" s="1"/>
  <c r="O93" i="2"/>
  <c r="Q93" i="2" s="1"/>
  <c r="P310" i="10" s="1"/>
  <c r="Q310" i="10" s="1"/>
  <c r="O92" i="2"/>
  <c r="Q92" i="2" s="1"/>
  <c r="P309" i="10" s="1"/>
  <c r="Q309" i="10" s="1"/>
  <c r="O110" i="9"/>
  <c r="Q110" i="9" s="1"/>
  <c r="C252" i="10" s="1"/>
  <c r="D252" i="10" s="1"/>
  <c r="O109" i="9"/>
  <c r="Q109" i="9" s="1"/>
  <c r="C251" i="10" s="1"/>
  <c r="D251" i="10" s="1"/>
  <c r="O108" i="9"/>
  <c r="Q108" i="9" s="1"/>
  <c r="C250" i="10"/>
  <c r="D250" i="10" s="1"/>
  <c r="O107" i="9"/>
  <c r="Q107" i="9" s="1"/>
  <c r="C249" i="10"/>
  <c r="D249" i="10" s="1"/>
  <c r="O106" i="9"/>
  <c r="Q106" i="9" s="1"/>
  <c r="C248" i="10" s="1"/>
  <c r="D248" i="10" s="1"/>
  <c r="O105" i="9"/>
  <c r="Q105" i="9" s="1"/>
  <c r="C247" i="10" s="1"/>
  <c r="D247" i="10" s="1"/>
  <c r="O104" i="9"/>
  <c r="Q104" i="9" s="1"/>
  <c r="C246" i="10"/>
  <c r="D246" i="10" s="1"/>
  <c r="O103" i="9"/>
  <c r="Q103" i="9" s="1"/>
  <c r="C245" i="10"/>
  <c r="D245" i="10" s="1"/>
  <c r="O102" i="9"/>
  <c r="Q102" i="9" s="1"/>
  <c r="C244" i="10" s="1"/>
  <c r="D244" i="10" s="1"/>
  <c r="O78" i="9"/>
  <c r="Q78" i="9" s="1"/>
  <c r="M230" i="10" s="1"/>
  <c r="N230" i="10" s="1"/>
  <c r="O79" i="9"/>
  <c r="Q79" i="9" s="1"/>
  <c r="M231" i="10"/>
  <c r="N231" i="10" s="1"/>
  <c r="O80" i="9"/>
  <c r="Q80" i="9" s="1"/>
  <c r="M232" i="10" s="1"/>
  <c r="N232" i="10" s="1"/>
  <c r="O81" i="9"/>
  <c r="Q81" i="9" s="1"/>
  <c r="M233" i="10" s="1"/>
  <c r="N233" i="10" s="1"/>
  <c r="O82" i="9"/>
  <c r="Q82" i="9" s="1"/>
  <c r="M234" i="10" s="1"/>
  <c r="N234" i="10" s="1"/>
  <c r="Q564" i="10"/>
  <c r="Q563" i="10"/>
  <c r="Q562" i="10"/>
  <c r="Q561" i="10"/>
  <c r="Q560" i="10"/>
  <c r="Q559" i="10"/>
  <c r="N564" i="10"/>
  <c r="N563" i="10"/>
  <c r="N562" i="10"/>
  <c r="N561" i="10"/>
  <c r="N560" i="10"/>
  <c r="N559" i="10"/>
  <c r="N558" i="10"/>
  <c r="N557" i="10"/>
  <c r="N556" i="10"/>
  <c r="K564" i="10"/>
  <c r="K563" i="10"/>
  <c r="K562" i="10"/>
  <c r="K561" i="10"/>
  <c r="K560" i="10"/>
  <c r="K559" i="10"/>
  <c r="K558" i="10"/>
  <c r="K557" i="10"/>
  <c r="K556" i="10"/>
  <c r="D4" i="21"/>
  <c r="A7" i="18"/>
  <c r="S495" i="10"/>
  <c r="S494" i="10"/>
  <c r="S493" i="10"/>
  <c r="S492" i="10"/>
  <c r="S491" i="10"/>
  <c r="S490" i="10"/>
  <c r="S489" i="10"/>
  <c r="S488" i="10"/>
  <c r="S487" i="10"/>
  <c r="S486" i="10"/>
  <c r="S485" i="10"/>
  <c r="S484" i="10"/>
  <c r="S483" i="10"/>
  <c r="S482" i="10"/>
  <c r="S481" i="10"/>
  <c r="S480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395" i="10"/>
  <c r="S394" i="10"/>
  <c r="J410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396" i="10"/>
  <c r="J395" i="10"/>
  <c r="J394" i="10"/>
  <c r="A12" i="21"/>
  <c r="G25" i="20"/>
  <c r="I23" i="20"/>
  <c r="I22" i="20"/>
  <c r="I21" i="20"/>
  <c r="L26" i="18"/>
  <c r="K26" i="18"/>
  <c r="J26" i="18"/>
  <c r="I26" i="18"/>
  <c r="H26" i="18"/>
  <c r="G26" i="18"/>
  <c r="F26" i="18"/>
  <c r="E26" i="18"/>
  <c r="D26" i="18"/>
  <c r="M8" i="18"/>
  <c r="H13" i="21"/>
  <c r="M7" i="18"/>
  <c r="H12" i="21" s="1"/>
  <c r="J12" i="21" s="1"/>
  <c r="C8" i="19"/>
  <c r="H25" i="19"/>
  <c r="C7" i="19"/>
  <c r="H23" i="19" s="1"/>
  <c r="C6" i="19"/>
  <c r="H21" i="19"/>
  <c r="D35" i="17"/>
  <c r="E7" i="19" s="1"/>
  <c r="B14" i="19" s="1"/>
  <c r="B35" i="17"/>
  <c r="E6" i="19"/>
  <c r="E9" i="19" s="1"/>
  <c r="I10" i="17"/>
  <c r="G12" i="21" s="1"/>
  <c r="H10" i="17"/>
  <c r="D12" i="21"/>
  <c r="P536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06" i="10"/>
  <c r="P507" i="10"/>
  <c r="P505" i="10"/>
  <c r="K578" i="10"/>
  <c r="K577" i="10"/>
  <c r="K576" i="10"/>
  <c r="K574" i="10"/>
  <c r="K573" i="10"/>
  <c r="O145" i="15"/>
  <c r="Q145" i="15" s="1"/>
  <c r="L375" i="10" s="1"/>
  <c r="M375" i="10" s="1"/>
  <c r="O144" i="15"/>
  <c r="Q144" i="15" s="1"/>
  <c r="L374" i="10" s="1"/>
  <c r="M374" i="10" s="1"/>
  <c r="O143" i="15"/>
  <c r="Q143" i="15" s="1"/>
  <c r="L373" i="10" s="1"/>
  <c r="M373" i="10" s="1"/>
  <c r="O135" i="15"/>
  <c r="Q135" i="15" s="1"/>
  <c r="I375" i="10" s="1"/>
  <c r="J375" i="10" s="1"/>
  <c r="O134" i="15"/>
  <c r="Q134" i="15" s="1"/>
  <c r="I374" i="10" s="1"/>
  <c r="J374" i="10" s="1"/>
  <c r="O133" i="15"/>
  <c r="Q133" i="15" s="1"/>
  <c r="I373" i="10" s="1"/>
  <c r="J373" i="10" s="1"/>
  <c r="O72" i="15"/>
  <c r="Q72" i="15"/>
  <c r="P360" i="10" s="1"/>
  <c r="Q360" i="10" s="1"/>
  <c r="O71" i="15"/>
  <c r="Q71" i="15"/>
  <c r="M360" i="10"/>
  <c r="N360" i="10" s="1"/>
  <c r="O70" i="15"/>
  <c r="Q70" i="15"/>
  <c r="J360" i="10"/>
  <c r="K360" i="10" s="1"/>
  <c r="O69" i="15"/>
  <c r="Q69" i="15"/>
  <c r="G360" i="10" s="1"/>
  <c r="H360" i="10" s="1"/>
  <c r="O68" i="15"/>
  <c r="Q68" i="15"/>
  <c r="D360" i="10" s="1"/>
  <c r="E360" i="10" s="1"/>
  <c r="O125" i="15"/>
  <c r="Q125" i="15"/>
  <c r="P364" i="10" s="1"/>
  <c r="Q364" i="10" s="1"/>
  <c r="O124" i="15"/>
  <c r="Q124" i="15"/>
  <c r="M364" i="10"/>
  <c r="N364" i="10" s="1"/>
  <c r="O123" i="15"/>
  <c r="Q123" i="15"/>
  <c r="J364" i="10" s="1"/>
  <c r="K364" i="10" s="1"/>
  <c r="O122" i="15"/>
  <c r="Q122" i="15"/>
  <c r="G364" i="10" s="1"/>
  <c r="H364" i="10" s="1"/>
  <c r="O121" i="15"/>
  <c r="Q121" i="15"/>
  <c r="D364" i="10"/>
  <c r="E364" i="10" s="1"/>
  <c r="O110" i="15"/>
  <c r="Q110" i="15"/>
  <c r="P363" i="10"/>
  <c r="Q363" i="10" s="1"/>
  <c r="O109" i="15"/>
  <c r="Q109" i="15"/>
  <c r="M363" i="10" s="1"/>
  <c r="N363" i="10" s="1"/>
  <c r="O108" i="15"/>
  <c r="Q108" i="15"/>
  <c r="J363" i="10" s="1"/>
  <c r="K363" i="10" s="1"/>
  <c r="O107" i="15"/>
  <c r="Q107" i="15"/>
  <c r="G363" i="10" s="1"/>
  <c r="H363" i="10" s="1"/>
  <c r="O106" i="15"/>
  <c r="Q106" i="15"/>
  <c r="D363" i="10"/>
  <c r="E363" i="10" s="1"/>
  <c r="O98" i="15"/>
  <c r="Q98" i="15"/>
  <c r="P362" i="10" s="1"/>
  <c r="Q362" i="10" s="1"/>
  <c r="O97" i="15"/>
  <c r="Q97" i="15"/>
  <c r="M362" i="10" s="1"/>
  <c r="N362" i="10" s="1"/>
  <c r="O96" i="15"/>
  <c r="Q96" i="15"/>
  <c r="J362" i="10"/>
  <c r="K362" i="10" s="1"/>
  <c r="O95" i="15"/>
  <c r="Q95" i="15" s="1"/>
  <c r="G362" i="10" s="1"/>
  <c r="H362" i="10" s="1"/>
  <c r="O94" i="15"/>
  <c r="Q94" i="15" s="1"/>
  <c r="D362" i="10" s="1"/>
  <c r="E362" i="10" s="1"/>
  <c r="O86" i="15"/>
  <c r="Q86" i="15" s="1"/>
  <c r="P361" i="10" s="1"/>
  <c r="Q361" i="10" s="1"/>
  <c r="O85" i="15"/>
  <c r="Q85" i="15"/>
  <c r="M361" i="10"/>
  <c r="N361" i="10" s="1"/>
  <c r="O84" i="15"/>
  <c r="Q84" i="15" s="1"/>
  <c r="J361" i="10" s="1"/>
  <c r="K361" i="10" s="1"/>
  <c r="O83" i="15"/>
  <c r="Q83" i="15" s="1"/>
  <c r="G361" i="10" s="1"/>
  <c r="H361" i="10" s="1"/>
  <c r="O82" i="15"/>
  <c r="Q82" i="15" s="1"/>
  <c r="D361" i="10" s="1"/>
  <c r="E361" i="10" s="1"/>
  <c r="O60" i="15"/>
  <c r="Q60" i="15"/>
  <c r="P359" i="10"/>
  <c r="Q359" i="10" s="1"/>
  <c r="O59" i="15"/>
  <c r="Q59" i="15" s="1"/>
  <c r="M359" i="10" s="1"/>
  <c r="N359" i="10" s="1"/>
  <c r="O58" i="15"/>
  <c r="Q58" i="15" s="1"/>
  <c r="J359" i="10" s="1"/>
  <c r="K359" i="10" s="1"/>
  <c r="O57" i="15"/>
  <c r="Q57" i="15" s="1"/>
  <c r="G359" i="10" s="1"/>
  <c r="H359" i="10" s="1"/>
  <c r="O56" i="15"/>
  <c r="Q56" i="15"/>
  <c r="D359" i="10"/>
  <c r="E359" i="10" s="1"/>
  <c r="O48" i="15"/>
  <c r="Q48" i="15" s="1"/>
  <c r="P358" i="10" s="1"/>
  <c r="Q358" i="10" s="1"/>
  <c r="O47" i="15"/>
  <c r="Q47" i="15" s="1"/>
  <c r="M358" i="10" s="1"/>
  <c r="N358" i="10" s="1"/>
  <c r="O46" i="15"/>
  <c r="Q46" i="15" s="1"/>
  <c r="J358" i="10" s="1"/>
  <c r="K358" i="10" s="1"/>
  <c r="O45" i="15"/>
  <c r="Q45" i="15"/>
  <c r="G358" i="10"/>
  <c r="H358" i="10" s="1"/>
  <c r="O44" i="15"/>
  <c r="Q44" i="15" s="1"/>
  <c r="D358" i="10" s="1"/>
  <c r="E358" i="10" s="1"/>
  <c r="O35" i="15"/>
  <c r="Q35" i="15" s="1"/>
  <c r="P357" i="10" s="1"/>
  <c r="Q357" i="10" s="1"/>
  <c r="O34" i="15"/>
  <c r="Q34" i="15" s="1"/>
  <c r="M357" i="10" s="1"/>
  <c r="N357" i="10" s="1"/>
  <c r="O33" i="15"/>
  <c r="Q33" i="15"/>
  <c r="J357" i="10" s="1"/>
  <c r="K357" i="10" s="1"/>
  <c r="O32" i="15"/>
  <c r="Q32" i="15" s="1"/>
  <c r="G357" i="10" s="1"/>
  <c r="H357" i="10" s="1"/>
  <c r="O31" i="15"/>
  <c r="Q31" i="15"/>
  <c r="D357" i="10" s="1"/>
  <c r="E357" i="10" s="1"/>
  <c r="O24" i="15"/>
  <c r="Q24" i="15" s="1"/>
  <c r="P356" i="10" s="1"/>
  <c r="Q356" i="10" s="1"/>
  <c r="O23" i="15"/>
  <c r="Q23" i="15"/>
  <c r="M356" i="10" s="1"/>
  <c r="N356" i="10" s="1"/>
  <c r="O22" i="15"/>
  <c r="Q22" i="15" s="1"/>
  <c r="J356" i="10" s="1"/>
  <c r="K356" i="10" s="1"/>
  <c r="O21" i="15"/>
  <c r="Q21" i="15"/>
  <c r="G356" i="10" s="1"/>
  <c r="H356" i="10" s="1"/>
  <c r="O20" i="15"/>
  <c r="Q20" i="15" s="1"/>
  <c r="D356" i="10" s="1"/>
  <c r="E356" i="10" s="1"/>
  <c r="O13" i="15"/>
  <c r="Q13" i="15"/>
  <c r="P355" i="10" s="1"/>
  <c r="Q355" i="10" s="1"/>
  <c r="O12" i="15"/>
  <c r="Q12" i="15" s="1"/>
  <c r="M355" i="10" s="1"/>
  <c r="N355" i="10" s="1"/>
  <c r="O11" i="15"/>
  <c r="Q11" i="15"/>
  <c r="J355" i="10" s="1"/>
  <c r="K355" i="10" s="1"/>
  <c r="O10" i="15"/>
  <c r="Q10" i="15" s="1"/>
  <c r="G355" i="10" s="1"/>
  <c r="H355" i="10" s="1"/>
  <c r="O9" i="15"/>
  <c r="Q9" i="15"/>
  <c r="D355" i="10" s="1"/>
  <c r="E355" i="10" s="1"/>
  <c r="O27" i="2"/>
  <c r="Q27" i="2" s="1"/>
  <c r="C335" i="10" s="1"/>
  <c r="D335" i="10" s="1"/>
  <c r="O26" i="2"/>
  <c r="Q26" i="2" s="1"/>
  <c r="C334" i="10" s="1"/>
  <c r="D334" i="10" s="1"/>
  <c r="O25" i="2"/>
  <c r="Q25" i="2" s="1"/>
  <c r="C333" i="10" s="1"/>
  <c r="D333" i="10" s="1"/>
  <c r="O24" i="2"/>
  <c r="Q24" i="2" s="1"/>
  <c r="C332" i="10" s="1"/>
  <c r="D332" i="10" s="1"/>
  <c r="O23" i="2"/>
  <c r="Q23" i="2" s="1"/>
  <c r="C331" i="10" s="1"/>
  <c r="D331" i="10" s="1"/>
  <c r="O22" i="2"/>
  <c r="Q22" i="2" s="1"/>
  <c r="O13" i="2"/>
  <c r="Q13" i="2" s="1"/>
  <c r="I313" i="10" s="1"/>
  <c r="J313" i="10" s="1"/>
  <c r="O12" i="2"/>
  <c r="Q12" i="2" s="1"/>
  <c r="I312" i="10" s="1"/>
  <c r="J312" i="10" s="1"/>
  <c r="O11" i="2"/>
  <c r="Q11" i="2" s="1"/>
  <c r="I311" i="10" s="1"/>
  <c r="J311" i="10" s="1"/>
  <c r="O10" i="2"/>
  <c r="Q10" i="2" s="1"/>
  <c r="I310" i="10" s="1"/>
  <c r="J310" i="10" s="1"/>
  <c r="O9" i="2"/>
  <c r="Q9" i="2" s="1"/>
  <c r="I309" i="10" s="1"/>
  <c r="J309" i="10" s="1"/>
  <c r="O8" i="2"/>
  <c r="Q8" i="2" s="1"/>
  <c r="I308" i="10" s="1"/>
  <c r="J308" i="10" s="1"/>
  <c r="O7" i="2"/>
  <c r="Q7" i="2" s="1"/>
  <c r="I307" i="10" s="1"/>
  <c r="J307" i="10" s="1"/>
  <c r="O6" i="2"/>
  <c r="Q6" i="2" s="1"/>
  <c r="I306" i="10" s="1"/>
  <c r="J306" i="10" s="1"/>
  <c r="O50" i="7"/>
  <c r="O287" i="10"/>
  <c r="P287" i="10" s="1"/>
  <c r="O49" i="7"/>
  <c r="O286" i="10"/>
  <c r="P286" i="10" s="1"/>
  <c r="O48" i="7"/>
  <c r="O285" i="10" s="1"/>
  <c r="P285" i="10" s="1"/>
  <c r="O47" i="7"/>
  <c r="O284" i="10" s="1"/>
  <c r="P284" i="10" s="1"/>
  <c r="O46" i="7"/>
  <c r="O283" i="10"/>
  <c r="P283" i="10" s="1"/>
  <c r="O45" i="7"/>
  <c r="O282" i="10"/>
  <c r="P282" i="10" s="1"/>
  <c r="G50" i="7"/>
  <c r="L287" i="10" s="1"/>
  <c r="M287" i="10" s="1"/>
  <c r="G49" i="7"/>
  <c r="L286" i="10" s="1"/>
  <c r="M286" i="10" s="1"/>
  <c r="G48" i="7"/>
  <c r="L285" i="10"/>
  <c r="M285" i="10" s="1"/>
  <c r="G47" i="7"/>
  <c r="L284" i="10"/>
  <c r="M284" i="10" s="1"/>
  <c r="G46" i="7"/>
  <c r="L283" i="10" s="1"/>
  <c r="M283" i="10" s="1"/>
  <c r="G45" i="7"/>
  <c r="L282" i="10" s="1"/>
  <c r="M282" i="10" s="1"/>
  <c r="O39" i="7"/>
  <c r="I287" i="10"/>
  <c r="J287" i="10" s="1"/>
  <c r="O38" i="7"/>
  <c r="I286" i="10"/>
  <c r="J286" i="10" s="1"/>
  <c r="G39" i="7"/>
  <c r="F287" i="10" s="1"/>
  <c r="G287" i="10" s="1"/>
  <c r="G38" i="7"/>
  <c r="F286" i="10" s="1"/>
  <c r="G286" i="10" s="1"/>
  <c r="O37" i="7"/>
  <c r="I285" i="10"/>
  <c r="J285" i="10" s="1"/>
  <c r="O36" i="7"/>
  <c r="I284" i="10"/>
  <c r="J284" i="10" s="1"/>
  <c r="O35" i="7"/>
  <c r="I283" i="10" s="1"/>
  <c r="J283" i="10" s="1"/>
  <c r="O34" i="7"/>
  <c r="I282" i="10" s="1"/>
  <c r="J282" i="10" s="1"/>
  <c r="G35" i="7"/>
  <c r="F283" i="10"/>
  <c r="G283" i="10" s="1"/>
  <c r="G37" i="7"/>
  <c r="F285" i="10"/>
  <c r="G285" i="10" s="1"/>
  <c r="G36" i="7"/>
  <c r="F284" i="10" s="1"/>
  <c r="G284" i="10" s="1"/>
  <c r="G34" i="7"/>
  <c r="F282" i="10" s="1"/>
  <c r="G282" i="10" s="1"/>
  <c r="O25" i="7"/>
  <c r="Q25" i="7"/>
  <c r="I274" i="10" s="1"/>
  <c r="J274" i="10" s="1"/>
  <c r="O24" i="7"/>
  <c r="Q24" i="7" s="1"/>
  <c r="I273" i="10" s="1"/>
  <c r="J273" i="10" s="1"/>
  <c r="O23" i="7"/>
  <c r="Q23" i="7"/>
  <c r="I272" i="10" s="1"/>
  <c r="J272" i="10" s="1"/>
  <c r="O22" i="7"/>
  <c r="Q22" i="7" s="1"/>
  <c r="I271" i="10" s="1"/>
  <c r="J271" i="10" s="1"/>
  <c r="O21" i="7"/>
  <c r="Q21" i="7"/>
  <c r="I270" i="10" s="1"/>
  <c r="J270" i="10" s="1"/>
  <c r="O20" i="7"/>
  <c r="Q20" i="7" s="1"/>
  <c r="I269" i="10" s="1"/>
  <c r="J269" i="10" s="1"/>
  <c r="O13" i="7"/>
  <c r="Q13" i="7"/>
  <c r="F274" i="10" s="1"/>
  <c r="G274" i="10" s="1"/>
  <c r="O12" i="7"/>
  <c r="Q12" i="7" s="1"/>
  <c r="F273" i="10" s="1"/>
  <c r="G273" i="10" s="1"/>
  <c r="O11" i="7"/>
  <c r="Q11" i="7"/>
  <c r="F272" i="10" s="1"/>
  <c r="G272" i="10" s="1"/>
  <c r="O10" i="7"/>
  <c r="Q10" i="7" s="1"/>
  <c r="F271" i="10" s="1"/>
  <c r="G271" i="10" s="1"/>
  <c r="O9" i="7"/>
  <c r="Q9" i="7"/>
  <c r="F270" i="10" s="1"/>
  <c r="G270" i="10" s="1"/>
  <c r="O8" i="7"/>
  <c r="Q8" i="7" s="1"/>
  <c r="F269" i="10" s="1"/>
  <c r="G269" i="10" s="1"/>
  <c r="O65" i="14"/>
  <c r="Q65" i="14" s="1"/>
  <c r="L83" i="10" s="1"/>
  <c r="M83" i="10" s="1"/>
  <c r="O95" i="9"/>
  <c r="Q95" i="9" s="1"/>
  <c r="P229" i="10" s="1"/>
  <c r="Q229" i="10" s="1"/>
  <c r="O94" i="9"/>
  <c r="Q94" i="9"/>
  <c r="P228" i="10" s="1"/>
  <c r="Q228" i="10" s="1"/>
  <c r="O93" i="9"/>
  <c r="Q93" i="9" s="1"/>
  <c r="P227" i="10" s="1"/>
  <c r="Q227" i="10" s="1"/>
  <c r="O92" i="9"/>
  <c r="Q92" i="9"/>
  <c r="P226" i="10" s="1"/>
  <c r="Q226" i="10" s="1"/>
  <c r="O91" i="9"/>
  <c r="Q91" i="9" s="1"/>
  <c r="P225" i="10" s="1"/>
  <c r="Q225" i="10" s="1"/>
  <c r="O90" i="9"/>
  <c r="Q90" i="9"/>
  <c r="P224" i="10" s="1"/>
  <c r="Q224" i="10" s="1"/>
  <c r="O89" i="9"/>
  <c r="Q89" i="9" s="1"/>
  <c r="P223" i="10" s="1"/>
  <c r="Q223" i="10" s="1"/>
  <c r="O77" i="9"/>
  <c r="Q77" i="9"/>
  <c r="M229" i="10" s="1"/>
  <c r="N229" i="10" s="1"/>
  <c r="O76" i="9"/>
  <c r="Q76" i="9" s="1"/>
  <c r="M228" i="10" s="1"/>
  <c r="N228" i="10" s="1"/>
  <c r="O75" i="9"/>
  <c r="Q75" i="9"/>
  <c r="M227" i="10" s="1"/>
  <c r="N227" i="10" s="1"/>
  <c r="O74" i="9"/>
  <c r="Q74" i="9" s="1"/>
  <c r="M226" i="10" s="1"/>
  <c r="N226" i="10" s="1"/>
  <c r="O73" i="9"/>
  <c r="Q73" i="9"/>
  <c r="M225" i="10" s="1"/>
  <c r="N225" i="10" s="1"/>
  <c r="O72" i="9"/>
  <c r="M224" i="10" s="1"/>
  <c r="N224" i="10" s="1"/>
  <c r="O71" i="9"/>
  <c r="Q71" i="9"/>
  <c r="M223" i="10"/>
  <c r="N223" i="10" s="1"/>
  <c r="O64" i="9"/>
  <c r="Q64" i="9"/>
  <c r="J239" i="10"/>
  <c r="K239" i="10" s="1"/>
  <c r="O63" i="9"/>
  <c r="Q63" i="9"/>
  <c r="J238" i="10" s="1"/>
  <c r="K238" i="10" s="1"/>
  <c r="O62" i="9"/>
  <c r="Q62" i="9"/>
  <c r="J237" i="10" s="1"/>
  <c r="K237" i="10" s="1"/>
  <c r="O61" i="9"/>
  <c r="Q61" i="9"/>
  <c r="J236" i="10"/>
  <c r="K236" i="10" s="1"/>
  <c r="O60" i="9"/>
  <c r="Q60" i="9"/>
  <c r="J235" i="10"/>
  <c r="K235" i="10" s="1"/>
  <c r="O59" i="9"/>
  <c r="Q59" i="9"/>
  <c r="J234" i="10" s="1"/>
  <c r="K234" i="10" s="1"/>
  <c r="O58" i="9"/>
  <c r="Q58" i="9"/>
  <c r="J233" i="10" s="1"/>
  <c r="K233" i="10" s="1"/>
  <c r="O57" i="9"/>
  <c r="Q57" i="9"/>
  <c r="J232" i="10"/>
  <c r="K232" i="10" s="1"/>
  <c r="O56" i="9"/>
  <c r="Q56" i="9"/>
  <c r="J231" i="10"/>
  <c r="K231" i="10" s="1"/>
  <c r="O55" i="9"/>
  <c r="Q55" i="9"/>
  <c r="J230" i="10" s="1"/>
  <c r="K230" i="10" s="1"/>
  <c r="O54" i="9"/>
  <c r="Q54" i="9"/>
  <c r="J229" i="10" s="1"/>
  <c r="K229" i="10" s="1"/>
  <c r="O53" i="9"/>
  <c r="Q53" i="9"/>
  <c r="J228" i="10"/>
  <c r="K228" i="10" s="1"/>
  <c r="O52" i="9"/>
  <c r="Q52" i="9"/>
  <c r="J227" i="10"/>
  <c r="K227" i="10" s="1"/>
  <c r="O51" i="9"/>
  <c r="Q51" i="9"/>
  <c r="J226" i="10" s="1"/>
  <c r="K226" i="10" s="1"/>
  <c r="O50" i="9"/>
  <c r="Q50" i="9"/>
  <c r="J225" i="10" s="1"/>
  <c r="K225" i="10" s="1"/>
  <c r="O49" i="9"/>
  <c r="Q49" i="9"/>
  <c r="J224" i="10"/>
  <c r="K224" i="10" s="1"/>
  <c r="O48" i="9"/>
  <c r="Q48" i="9"/>
  <c r="J223" i="10"/>
  <c r="K223" i="10" s="1"/>
  <c r="O37" i="9"/>
  <c r="Q37" i="9"/>
  <c r="G231" i="10" s="1"/>
  <c r="H231" i="10" s="1"/>
  <c r="O36" i="9"/>
  <c r="Q36" i="9"/>
  <c r="G230" i="10" s="1"/>
  <c r="H230" i="10" s="1"/>
  <c r="O35" i="9"/>
  <c r="Q35" i="9"/>
  <c r="G229" i="10"/>
  <c r="H229" i="10" s="1"/>
  <c r="O34" i="9"/>
  <c r="Q34" i="9"/>
  <c r="G228" i="10"/>
  <c r="H228" i="10" s="1"/>
  <c r="O33" i="9"/>
  <c r="Q33" i="9"/>
  <c r="G227" i="10" s="1"/>
  <c r="H227" i="10" s="1"/>
  <c r="O32" i="9"/>
  <c r="Q32" i="9"/>
  <c r="G226" i="10" s="1"/>
  <c r="H226" i="10" s="1"/>
  <c r="O31" i="9"/>
  <c r="Q31" i="9"/>
  <c r="G225" i="10"/>
  <c r="H225" i="10" s="1"/>
  <c r="O30" i="9"/>
  <c r="Q30" i="9"/>
  <c r="G224" i="10"/>
  <c r="H224" i="10" s="1"/>
  <c r="O29" i="9"/>
  <c r="Q29" i="9"/>
  <c r="G223" i="10" s="1"/>
  <c r="H223" i="10" s="1"/>
  <c r="O22" i="9"/>
  <c r="Q22" i="9"/>
  <c r="D239" i="10" s="1"/>
  <c r="E239" i="10" s="1"/>
  <c r="O21" i="9"/>
  <c r="Q21" i="9"/>
  <c r="D238" i="10"/>
  <c r="E238" i="10" s="1"/>
  <c r="O20" i="9"/>
  <c r="Q20" i="9"/>
  <c r="D237" i="10"/>
  <c r="E237" i="10" s="1"/>
  <c r="O19" i="9"/>
  <c r="Q19" i="9"/>
  <c r="D236" i="10" s="1"/>
  <c r="E236" i="10" s="1"/>
  <c r="O18" i="9"/>
  <c r="Q18" i="9"/>
  <c r="D235" i="10" s="1"/>
  <c r="E235" i="10" s="1"/>
  <c r="O17" i="9"/>
  <c r="Q17" i="9"/>
  <c r="D234" i="10"/>
  <c r="E234" i="10" s="1"/>
  <c r="O16" i="9"/>
  <c r="Q16" i="9"/>
  <c r="D233" i="10"/>
  <c r="E233" i="10" s="1"/>
  <c r="O15" i="9"/>
  <c r="Q15" i="9"/>
  <c r="D232" i="10" s="1"/>
  <c r="E232" i="10" s="1"/>
  <c r="O14" i="9"/>
  <c r="Q14" i="9"/>
  <c r="D231" i="10" s="1"/>
  <c r="E231" i="10" s="1"/>
  <c r="O13" i="9"/>
  <c r="Q13" i="9"/>
  <c r="D230" i="10"/>
  <c r="E230" i="10" s="1"/>
  <c r="O12" i="9"/>
  <c r="Q12" i="9"/>
  <c r="D229" i="10"/>
  <c r="E229" i="10" s="1"/>
  <c r="O11" i="9"/>
  <c r="Q11" i="9"/>
  <c r="D228" i="10" s="1"/>
  <c r="E228" i="10" s="1"/>
  <c r="O10" i="9"/>
  <c r="Q10" i="9"/>
  <c r="D227" i="10" s="1"/>
  <c r="E227" i="10" s="1"/>
  <c r="O9" i="9"/>
  <c r="Q9" i="9"/>
  <c r="D226" i="10"/>
  <c r="E226" i="10" s="1"/>
  <c r="O8" i="9"/>
  <c r="Q8" i="9"/>
  <c r="D225" i="10"/>
  <c r="E225" i="10" s="1"/>
  <c r="O7" i="9"/>
  <c r="Q7" i="9"/>
  <c r="D224" i="10" s="1"/>
  <c r="E224" i="10" s="1"/>
  <c r="O6" i="9"/>
  <c r="Q6" i="9"/>
  <c r="D223" i="10" s="1"/>
  <c r="E223" i="10" s="1"/>
  <c r="O111" i="12"/>
  <c r="Q111" i="12"/>
  <c r="N168" i="10"/>
  <c r="O168" i="10" s="1"/>
  <c r="O110" i="12"/>
  <c r="Q110" i="12"/>
  <c r="N167" i="10"/>
  <c r="O167" i="10" s="1"/>
  <c r="O109" i="12"/>
  <c r="Q109" i="12"/>
  <c r="N166" i="10" s="1"/>
  <c r="O166" i="10" s="1"/>
  <c r="O108" i="12"/>
  <c r="Q108" i="12"/>
  <c r="N165" i="10" s="1"/>
  <c r="O165" i="10" s="1"/>
  <c r="O107" i="12"/>
  <c r="Q107" i="12"/>
  <c r="N164" i="10"/>
  <c r="O164" i="10" s="1"/>
  <c r="O106" i="12"/>
  <c r="Q106" i="12"/>
  <c r="N163" i="10"/>
  <c r="O163" i="10" s="1"/>
  <c r="O105" i="12"/>
  <c r="Q105" i="12"/>
  <c r="N162" i="10" s="1"/>
  <c r="O162" i="10" s="1"/>
  <c r="O104" i="12"/>
  <c r="Q104" i="12"/>
  <c r="N161" i="10" s="1"/>
  <c r="O161" i="10" s="1"/>
  <c r="O103" i="12"/>
  <c r="Q103" i="12"/>
  <c r="N160" i="10"/>
  <c r="O160" i="10" s="1"/>
  <c r="O102" i="12"/>
  <c r="Q102" i="12"/>
  <c r="N159" i="10"/>
  <c r="O159" i="10" s="1"/>
  <c r="O101" i="12"/>
  <c r="Q101" i="12"/>
  <c r="N158" i="10" s="1"/>
  <c r="O158" i="10" s="1"/>
  <c r="O100" i="12"/>
  <c r="Q100" i="12"/>
  <c r="N157" i="10" s="1"/>
  <c r="O157" i="10" s="1"/>
  <c r="O99" i="12"/>
  <c r="Q99" i="12"/>
  <c r="N156" i="10"/>
  <c r="O156" i="10" s="1"/>
  <c r="O98" i="12"/>
  <c r="Q98" i="12"/>
  <c r="N155" i="10"/>
  <c r="O155" i="10" s="1"/>
  <c r="O97" i="12"/>
  <c r="Q97" i="12"/>
  <c r="N154" i="10" s="1"/>
  <c r="O154" i="10" s="1"/>
  <c r="O96" i="12"/>
  <c r="Q96" i="12"/>
  <c r="N153" i="10" s="1"/>
  <c r="O153" i="10" s="1"/>
  <c r="O95" i="12"/>
  <c r="Q95" i="12"/>
  <c r="N152" i="10"/>
  <c r="O152" i="10" s="1"/>
  <c r="O94" i="12"/>
  <c r="Q94" i="12"/>
  <c r="N151" i="10"/>
  <c r="O151" i="10" s="1"/>
  <c r="O93" i="12"/>
  <c r="Q93" i="12"/>
  <c r="N150" i="10" s="1"/>
  <c r="O150" i="10" s="1"/>
  <c r="O92" i="12"/>
  <c r="Q92" i="12"/>
  <c r="N149" i="10" s="1"/>
  <c r="O149" i="10" s="1"/>
  <c r="O91" i="12"/>
  <c r="Q91" i="12"/>
  <c r="N148" i="10"/>
  <c r="O148" i="10" s="1"/>
  <c r="O90" i="12"/>
  <c r="Q90" i="12"/>
  <c r="N147" i="10"/>
  <c r="O147" i="10" s="1"/>
  <c r="O89" i="12"/>
  <c r="Q89" i="12"/>
  <c r="N146" i="10" s="1"/>
  <c r="O146" i="10" s="1"/>
  <c r="O83" i="12"/>
  <c r="Q83" i="12"/>
  <c r="K168" i="10" s="1"/>
  <c r="L168" i="10" s="1"/>
  <c r="O82" i="12"/>
  <c r="Q82" i="12"/>
  <c r="K167" i="10"/>
  <c r="L167" i="10" s="1"/>
  <c r="O81" i="12"/>
  <c r="Q81" i="12" s="1"/>
  <c r="K166" i="10" s="1"/>
  <c r="L166" i="10" s="1"/>
  <c r="O80" i="12"/>
  <c r="Q80" i="12" s="1"/>
  <c r="K165" i="10" s="1"/>
  <c r="L165" i="10" s="1"/>
  <c r="O79" i="12"/>
  <c r="Q79" i="12"/>
  <c r="K164" i="10" s="1"/>
  <c r="L164" i="10" s="1"/>
  <c r="O78" i="12"/>
  <c r="Q78" i="12"/>
  <c r="K163" i="10"/>
  <c r="L163" i="10" s="1"/>
  <c r="O77" i="12"/>
  <c r="Q77" i="12" s="1"/>
  <c r="K162" i="10" s="1"/>
  <c r="L162" i="10" s="1"/>
  <c r="O76" i="12"/>
  <c r="Q76" i="12" s="1"/>
  <c r="K161" i="10" s="1"/>
  <c r="L161" i="10" s="1"/>
  <c r="O75" i="12"/>
  <c r="Q75" i="12"/>
  <c r="K160" i="10" s="1"/>
  <c r="L160" i="10" s="1"/>
  <c r="O74" i="12"/>
  <c r="Q74" i="12"/>
  <c r="K159" i="10"/>
  <c r="L159" i="10" s="1"/>
  <c r="O73" i="12"/>
  <c r="Q73" i="12" s="1"/>
  <c r="K158" i="10" s="1"/>
  <c r="L158" i="10" s="1"/>
  <c r="O72" i="12"/>
  <c r="Q72" i="12" s="1"/>
  <c r="K157" i="10" s="1"/>
  <c r="L157" i="10" s="1"/>
  <c r="O71" i="12"/>
  <c r="Q71" i="12"/>
  <c r="K156" i="10" s="1"/>
  <c r="L156" i="10" s="1"/>
  <c r="O70" i="12"/>
  <c r="Q70" i="12"/>
  <c r="K155" i="10"/>
  <c r="L155" i="10" s="1"/>
  <c r="O69" i="12"/>
  <c r="Q69" i="12" s="1"/>
  <c r="K154" i="10" s="1"/>
  <c r="L154" i="10" s="1"/>
  <c r="O68" i="12"/>
  <c r="Q68" i="12" s="1"/>
  <c r="K153" i="10" s="1"/>
  <c r="L153" i="10" s="1"/>
  <c r="O67" i="12"/>
  <c r="Q67" i="12"/>
  <c r="K152" i="10" s="1"/>
  <c r="L152" i="10" s="1"/>
  <c r="O66" i="12"/>
  <c r="Q66" i="12"/>
  <c r="K151" i="10"/>
  <c r="L151" i="10" s="1"/>
  <c r="O65" i="12"/>
  <c r="Q65" i="12"/>
  <c r="K150" i="10"/>
  <c r="L150" i="10" s="1"/>
  <c r="O64" i="12"/>
  <c r="Q64" i="12"/>
  <c r="K149" i="10"/>
  <c r="L149" i="10" s="1"/>
  <c r="O63" i="12"/>
  <c r="Q63" i="12"/>
  <c r="K148" i="10"/>
  <c r="L148" i="10" s="1"/>
  <c r="O62" i="12"/>
  <c r="Q62" i="12"/>
  <c r="K147" i="10"/>
  <c r="L147" i="10" s="1"/>
  <c r="O61" i="12"/>
  <c r="Q61" i="12"/>
  <c r="K146" i="10"/>
  <c r="L146" i="10" s="1"/>
  <c r="O55" i="12"/>
  <c r="Q55" i="12"/>
  <c r="H168" i="10"/>
  <c r="I168" i="10" s="1"/>
  <c r="O54" i="12"/>
  <c r="Q54" i="12"/>
  <c r="H167" i="10"/>
  <c r="I167" i="10" s="1"/>
  <c r="O53" i="12"/>
  <c r="Q53" i="12"/>
  <c r="H166" i="10"/>
  <c r="I166" i="10" s="1"/>
  <c r="O52" i="12"/>
  <c r="Q52" i="12"/>
  <c r="H165" i="10"/>
  <c r="I165" i="10" s="1"/>
  <c r="O51" i="12"/>
  <c r="Q51" i="12"/>
  <c r="H164" i="10"/>
  <c r="I164" i="10" s="1"/>
  <c r="O50" i="12"/>
  <c r="Q50" i="12"/>
  <c r="H163" i="10"/>
  <c r="I163" i="10" s="1"/>
  <c r="O49" i="12"/>
  <c r="Q49" i="12"/>
  <c r="H162" i="10"/>
  <c r="I162" i="10" s="1"/>
  <c r="O48" i="12"/>
  <c r="Q48" i="12"/>
  <c r="H161" i="10"/>
  <c r="I161" i="10" s="1"/>
  <c r="O47" i="12"/>
  <c r="Q47" i="12"/>
  <c r="H160" i="10"/>
  <c r="I160" i="10" s="1"/>
  <c r="O46" i="12"/>
  <c r="Q46" i="12"/>
  <c r="H159" i="10"/>
  <c r="I159" i="10" s="1"/>
  <c r="O45" i="12"/>
  <c r="Q45" i="12"/>
  <c r="H158" i="10"/>
  <c r="I158" i="10" s="1"/>
  <c r="O44" i="12"/>
  <c r="Q44" i="12"/>
  <c r="H157" i="10"/>
  <c r="I157" i="10" s="1"/>
  <c r="O43" i="12"/>
  <c r="Q43" i="12"/>
  <c r="H156" i="10"/>
  <c r="I156" i="10" s="1"/>
  <c r="O42" i="12"/>
  <c r="Q42" i="12"/>
  <c r="H155" i="10"/>
  <c r="I155" i="10" s="1"/>
  <c r="O41" i="12"/>
  <c r="Q41" i="12"/>
  <c r="H154" i="10"/>
  <c r="I154" i="10" s="1"/>
  <c r="O40" i="12"/>
  <c r="Q40" i="12"/>
  <c r="H153" i="10"/>
  <c r="I153" i="10" s="1"/>
  <c r="O39" i="12"/>
  <c r="Q39" i="12"/>
  <c r="H152" i="10"/>
  <c r="I152" i="10" s="1"/>
  <c r="O38" i="12"/>
  <c r="Q38" i="12"/>
  <c r="H151" i="10"/>
  <c r="I151" i="10" s="1"/>
  <c r="O37" i="12"/>
  <c r="Q37" i="12"/>
  <c r="H150" i="10"/>
  <c r="I150" i="10" s="1"/>
  <c r="O36" i="12"/>
  <c r="Q36" i="12"/>
  <c r="H149" i="10"/>
  <c r="I149" i="10" s="1"/>
  <c r="O35" i="12"/>
  <c r="Q35" i="12"/>
  <c r="H148" i="10"/>
  <c r="I148" i="10" s="1"/>
  <c r="O34" i="12"/>
  <c r="Q34" i="12"/>
  <c r="H147" i="10"/>
  <c r="I147" i="10" s="1"/>
  <c r="O33" i="12"/>
  <c r="Q33" i="12"/>
  <c r="H146" i="10"/>
  <c r="I146" i="10" s="1"/>
  <c r="O27" i="12"/>
  <c r="Q27" i="12"/>
  <c r="E168" i="10"/>
  <c r="F168" i="10" s="1"/>
  <c r="O26" i="12"/>
  <c r="Q26" i="12"/>
  <c r="E167" i="10"/>
  <c r="F167" i="10" s="1"/>
  <c r="O25" i="12"/>
  <c r="Q25" i="12"/>
  <c r="E166" i="10"/>
  <c r="F166" i="10" s="1"/>
  <c r="O24" i="12"/>
  <c r="Q24" i="12"/>
  <c r="E165" i="10"/>
  <c r="F165" i="10" s="1"/>
  <c r="O23" i="12"/>
  <c r="Q23" i="12"/>
  <c r="E164" i="10"/>
  <c r="F164" i="10" s="1"/>
  <c r="O22" i="12"/>
  <c r="Q22" i="12"/>
  <c r="E163" i="10"/>
  <c r="F163" i="10" s="1"/>
  <c r="O21" i="12"/>
  <c r="Q21" i="12"/>
  <c r="E162" i="10"/>
  <c r="F162" i="10" s="1"/>
  <c r="O20" i="12"/>
  <c r="Q20" i="12"/>
  <c r="E161" i="10"/>
  <c r="F161" i="10" s="1"/>
  <c r="O19" i="12"/>
  <c r="Q19" i="12"/>
  <c r="E160" i="10"/>
  <c r="F160" i="10" s="1"/>
  <c r="O18" i="12"/>
  <c r="Q18" i="12"/>
  <c r="E159" i="10"/>
  <c r="F159" i="10" s="1"/>
  <c r="O17" i="12"/>
  <c r="Q17" i="12"/>
  <c r="E158" i="10"/>
  <c r="F158" i="10" s="1"/>
  <c r="O16" i="12"/>
  <c r="Q16" i="12"/>
  <c r="E157" i="10"/>
  <c r="F157" i="10" s="1"/>
  <c r="O15" i="12"/>
  <c r="Q15" i="12"/>
  <c r="E156" i="10"/>
  <c r="F156" i="10" s="1"/>
  <c r="O14" i="12"/>
  <c r="Q14" i="12"/>
  <c r="E155" i="10"/>
  <c r="F155" i="10" s="1"/>
  <c r="O13" i="12"/>
  <c r="Q13" i="12"/>
  <c r="E154" i="10"/>
  <c r="F154" i="10" s="1"/>
  <c r="O12" i="12"/>
  <c r="Q12" i="12"/>
  <c r="E153" i="10"/>
  <c r="F153" i="10" s="1"/>
  <c r="O11" i="12"/>
  <c r="Q11" i="12"/>
  <c r="E152" i="10"/>
  <c r="F152" i="10" s="1"/>
  <c r="O10" i="12"/>
  <c r="Q10" i="12"/>
  <c r="E151" i="10"/>
  <c r="F151" i="10" s="1"/>
  <c r="O9" i="12"/>
  <c r="Q9" i="12"/>
  <c r="E150" i="10"/>
  <c r="F150" i="10" s="1"/>
  <c r="O8" i="12"/>
  <c r="Q8" i="12"/>
  <c r="E149" i="10"/>
  <c r="F149" i="10" s="1"/>
  <c r="O7" i="12"/>
  <c r="Q7" i="12"/>
  <c r="E148" i="10"/>
  <c r="F148" i="10" s="1"/>
  <c r="O6" i="12"/>
  <c r="Q6" i="12"/>
  <c r="E147" i="10"/>
  <c r="F147" i="10" s="1"/>
  <c r="O5" i="12"/>
  <c r="Q5" i="12"/>
  <c r="E146" i="10"/>
  <c r="F146" i="10" s="1"/>
  <c r="O190" i="14"/>
  <c r="Q190" i="14" s="1"/>
  <c r="N127" i="10" s="1"/>
  <c r="O189" i="14"/>
  <c r="Q189" i="14" s="1"/>
  <c r="O188" i="14"/>
  <c r="Q188" i="14" s="1"/>
  <c r="M124" i="10" s="1"/>
  <c r="N124" i="10" s="1"/>
  <c r="O187" i="14"/>
  <c r="Q187" i="14" s="1"/>
  <c r="M123" i="10" s="1"/>
  <c r="N123" i="10" s="1"/>
  <c r="O186" i="14"/>
  <c r="Q186" i="14" s="1"/>
  <c r="M122" i="10" s="1"/>
  <c r="N122" i="10" s="1"/>
  <c r="O185" i="14"/>
  <c r="Q185" i="14" s="1"/>
  <c r="M121" i="10" s="1"/>
  <c r="N121" i="10" s="1"/>
  <c r="O184" i="14"/>
  <c r="Q184" i="14" s="1"/>
  <c r="M120" i="10" s="1"/>
  <c r="N120" i="10" s="1"/>
  <c r="O183" i="14"/>
  <c r="Q183" i="14" s="1"/>
  <c r="M119" i="10" s="1"/>
  <c r="N119" i="10" s="1"/>
  <c r="O182" i="14"/>
  <c r="Q182" i="14" s="1"/>
  <c r="M118" i="10" s="1"/>
  <c r="N118" i="10" s="1"/>
  <c r="O177" i="14"/>
  <c r="Q177" i="14" s="1"/>
  <c r="F133" i="10" s="1"/>
  <c r="G133" i="10" s="1"/>
  <c r="O176" i="14"/>
  <c r="Q176" i="14" s="1"/>
  <c r="F132" i="10" s="1"/>
  <c r="G132" i="10" s="1"/>
  <c r="O175" i="14"/>
  <c r="Q175" i="14" s="1"/>
  <c r="F131" i="10" s="1"/>
  <c r="G131" i="10" s="1"/>
  <c r="O174" i="14"/>
  <c r="Q174" i="14" s="1"/>
  <c r="F130" i="10" s="1"/>
  <c r="G130" i="10" s="1"/>
  <c r="O137" i="14"/>
  <c r="Q137" i="14" s="1"/>
  <c r="O99" i="10" s="1"/>
  <c r="P99" i="10" s="1"/>
  <c r="O136" i="14"/>
  <c r="Q136" i="14" s="1"/>
  <c r="O98" i="10" s="1"/>
  <c r="P98" i="10" s="1"/>
  <c r="O135" i="14"/>
  <c r="Q135" i="14" s="1"/>
  <c r="O97" i="10" s="1"/>
  <c r="P97" i="10" s="1"/>
  <c r="O134" i="14"/>
  <c r="Q134" i="14" s="1"/>
  <c r="O96" i="10" s="1"/>
  <c r="P96" i="10" s="1"/>
  <c r="O133" i="14"/>
  <c r="Q133" i="14" s="1"/>
  <c r="O95" i="10" s="1"/>
  <c r="P95" i="10" s="1"/>
  <c r="O132" i="14"/>
  <c r="Q132" i="14" s="1"/>
  <c r="O94" i="10" s="1"/>
  <c r="P94" i="10" s="1"/>
  <c r="O131" i="14"/>
  <c r="Q131" i="14" s="1"/>
  <c r="O93" i="10" s="1"/>
  <c r="P93" i="10" s="1"/>
  <c r="O130" i="14"/>
  <c r="Q130" i="14"/>
  <c r="O92" i="10" s="1"/>
  <c r="P92" i="10" s="1"/>
  <c r="O129" i="14"/>
  <c r="Q129" i="14" s="1"/>
  <c r="O91" i="10" s="1"/>
  <c r="P91" i="10" s="1"/>
  <c r="O128" i="14"/>
  <c r="Q128" i="14" s="1"/>
  <c r="O90" i="10" s="1"/>
  <c r="P90" i="10" s="1"/>
  <c r="O122" i="14"/>
  <c r="Q122" i="14" s="1"/>
  <c r="L99" i="10" s="1"/>
  <c r="M99" i="10" s="1"/>
  <c r="O121" i="14"/>
  <c r="Q121" i="14" s="1"/>
  <c r="L98" i="10" s="1"/>
  <c r="M98" i="10" s="1"/>
  <c r="O120" i="14"/>
  <c r="Q120" i="14" s="1"/>
  <c r="L97" i="10" s="1"/>
  <c r="M97" i="10" s="1"/>
  <c r="O119" i="14"/>
  <c r="Q119" i="14" s="1"/>
  <c r="L96" i="10" s="1"/>
  <c r="M96" i="10" s="1"/>
  <c r="O118" i="14"/>
  <c r="Q118" i="14" s="1"/>
  <c r="L95" i="10" s="1"/>
  <c r="M95" i="10" s="1"/>
  <c r="O117" i="14"/>
  <c r="Q117" i="14" s="1"/>
  <c r="L94" i="10" s="1"/>
  <c r="M94" i="10" s="1"/>
  <c r="O116" i="14"/>
  <c r="Q116" i="14" s="1"/>
  <c r="L93" i="10" s="1"/>
  <c r="M93" i="10" s="1"/>
  <c r="O115" i="14"/>
  <c r="Q115" i="14"/>
  <c r="L92" i="10" s="1"/>
  <c r="M92" i="10" s="1"/>
  <c r="O114" i="14"/>
  <c r="Q114" i="14" s="1"/>
  <c r="L91" i="10" s="1"/>
  <c r="M91" i="10" s="1"/>
  <c r="O113" i="14"/>
  <c r="Q113" i="14" s="1"/>
  <c r="L90" i="10" s="1"/>
  <c r="M90" i="10" s="1"/>
  <c r="O108" i="14"/>
  <c r="Q108" i="14" s="1"/>
  <c r="I99" i="10" s="1"/>
  <c r="J99" i="10" s="1"/>
  <c r="O107" i="14"/>
  <c r="Q107" i="14" s="1"/>
  <c r="I98" i="10" s="1"/>
  <c r="J98" i="10" s="1"/>
  <c r="O106" i="14"/>
  <c r="Q106" i="14"/>
  <c r="I97" i="10" s="1"/>
  <c r="J97" i="10" s="1"/>
  <c r="O105" i="14"/>
  <c r="Q105" i="14"/>
  <c r="I96" i="10" s="1"/>
  <c r="J96" i="10" s="1"/>
  <c r="O104" i="14"/>
  <c r="Q104" i="14" s="1"/>
  <c r="I95" i="10" s="1"/>
  <c r="J95" i="10" s="1"/>
  <c r="O103" i="14"/>
  <c r="Q103" i="14" s="1"/>
  <c r="I94" i="10" s="1"/>
  <c r="J94" i="10" s="1"/>
  <c r="O102" i="14"/>
  <c r="Q102" i="14" s="1"/>
  <c r="I93" i="10" s="1"/>
  <c r="J93" i="10" s="1"/>
  <c r="O101" i="14"/>
  <c r="Q101" i="14" s="1"/>
  <c r="I92" i="10" s="1"/>
  <c r="J92" i="10" s="1"/>
  <c r="O100" i="14"/>
  <c r="Q100" i="14" s="1"/>
  <c r="I91" i="10" s="1"/>
  <c r="J91" i="10" s="1"/>
  <c r="O99" i="14"/>
  <c r="Q99" i="14" s="1"/>
  <c r="I90" i="10" s="1"/>
  <c r="J90" i="10" s="1"/>
  <c r="O94" i="14"/>
  <c r="Q94" i="14" s="1"/>
  <c r="R84" i="10" s="1"/>
  <c r="S84" i="10" s="1"/>
  <c r="O93" i="14"/>
  <c r="Q93" i="14"/>
  <c r="R83" i="10" s="1"/>
  <c r="S83" i="10" s="1"/>
  <c r="O92" i="14"/>
  <c r="Q92" i="14" s="1"/>
  <c r="R82" i="10" s="1"/>
  <c r="S82" i="10" s="1"/>
  <c r="O91" i="14"/>
  <c r="Q91" i="14"/>
  <c r="R81" i="10" s="1"/>
  <c r="S81" i="10" s="1"/>
  <c r="O90" i="14"/>
  <c r="Q90" i="14" s="1"/>
  <c r="R80" i="10" s="1"/>
  <c r="S80" i="10" s="1"/>
  <c r="O89" i="14"/>
  <c r="Q89" i="14" s="1"/>
  <c r="R79" i="10" s="1"/>
  <c r="S79" i="10" s="1"/>
  <c r="O88" i="14"/>
  <c r="Q88" i="14" s="1"/>
  <c r="R78" i="10" s="1"/>
  <c r="S78" i="10" s="1"/>
  <c r="O87" i="14"/>
  <c r="Q87" i="14" s="1"/>
  <c r="R77" i="10" s="1"/>
  <c r="S77" i="10" s="1"/>
  <c r="O86" i="14"/>
  <c r="Q86" i="14" s="1"/>
  <c r="R76" i="10" s="1"/>
  <c r="S76" i="10" s="1"/>
  <c r="O85" i="14"/>
  <c r="Q85" i="14" s="1"/>
  <c r="R75" i="10" s="1"/>
  <c r="S75" i="10" s="1"/>
  <c r="O80" i="14"/>
  <c r="Q80" i="14" s="1"/>
  <c r="O84" i="10" s="1"/>
  <c r="P84" i="10" s="1"/>
  <c r="O79" i="14"/>
  <c r="Q79" i="14" s="1"/>
  <c r="O83" i="10" s="1"/>
  <c r="P83" i="10" s="1"/>
  <c r="O78" i="14"/>
  <c r="Q78" i="14" s="1"/>
  <c r="O82" i="10" s="1"/>
  <c r="P82" i="10" s="1"/>
  <c r="O77" i="14"/>
  <c r="Q77" i="14" s="1"/>
  <c r="O81" i="10" s="1"/>
  <c r="P81" i="10" s="1"/>
  <c r="O76" i="14"/>
  <c r="Q76" i="14" s="1"/>
  <c r="O80" i="10" s="1"/>
  <c r="P80" i="10" s="1"/>
  <c r="O75" i="14"/>
  <c r="Q75" i="14" s="1"/>
  <c r="O79" i="10" s="1"/>
  <c r="P79" i="10" s="1"/>
  <c r="O74" i="14"/>
  <c r="Q74" i="14" s="1"/>
  <c r="O78" i="10" s="1"/>
  <c r="P78" i="10" s="1"/>
  <c r="O73" i="14"/>
  <c r="Q73" i="14"/>
  <c r="O77" i="10" s="1"/>
  <c r="P77" i="10" s="1"/>
  <c r="O72" i="14"/>
  <c r="Q72" i="14"/>
  <c r="O76" i="10" s="1"/>
  <c r="P76" i="10" s="1"/>
  <c r="O71" i="14"/>
  <c r="Q71" i="14" s="1"/>
  <c r="O75" i="10" s="1"/>
  <c r="P75" i="10" s="1"/>
  <c r="O66" i="14"/>
  <c r="Q66" i="14" s="1"/>
  <c r="L84" i="10" s="1"/>
  <c r="M84" i="10" s="1"/>
  <c r="O64" i="14"/>
  <c r="Q64" i="14" s="1"/>
  <c r="L82" i="10" s="1"/>
  <c r="M82" i="10" s="1"/>
  <c r="O63" i="14"/>
  <c r="Q63" i="14" s="1"/>
  <c r="L81" i="10" s="1"/>
  <c r="M81" i="10" s="1"/>
  <c r="O62" i="14"/>
  <c r="Q62" i="14" s="1"/>
  <c r="L80" i="10" s="1"/>
  <c r="M80" i="10" s="1"/>
  <c r="O61" i="14"/>
  <c r="Q61" i="14" s="1"/>
  <c r="L79" i="10" s="1"/>
  <c r="M79" i="10" s="1"/>
  <c r="O60" i="14"/>
  <c r="Q60" i="14" s="1"/>
  <c r="L78" i="10" s="1"/>
  <c r="M78" i="10" s="1"/>
  <c r="O59" i="14"/>
  <c r="Q59" i="14"/>
  <c r="L77" i="10" s="1"/>
  <c r="M77" i="10" s="1"/>
  <c r="O58" i="14"/>
  <c r="Q58" i="14" s="1"/>
  <c r="L76" i="10" s="1"/>
  <c r="M76" i="10" s="1"/>
  <c r="O57" i="14"/>
  <c r="Q57" i="14" s="1"/>
  <c r="L75" i="10" s="1"/>
  <c r="M75" i="10" s="1"/>
  <c r="O52" i="14"/>
  <c r="Q52" i="14" s="1"/>
  <c r="I84" i="10" s="1"/>
  <c r="J84" i="10" s="1"/>
  <c r="O51" i="14"/>
  <c r="Q51" i="14" s="1"/>
  <c r="I83" i="10" s="1"/>
  <c r="J83" i="10" s="1"/>
  <c r="O50" i="14"/>
  <c r="Q50" i="14" s="1"/>
  <c r="I82" i="10" s="1"/>
  <c r="J82" i="10" s="1"/>
  <c r="O49" i="14"/>
  <c r="Q49" i="14" s="1"/>
  <c r="I81" i="10" s="1"/>
  <c r="J81" i="10" s="1"/>
  <c r="O48" i="14"/>
  <c r="Q48" i="14"/>
  <c r="I80" i="10" s="1"/>
  <c r="J80" i="10" s="1"/>
  <c r="O47" i="14"/>
  <c r="Q47" i="14" s="1"/>
  <c r="I79" i="10" s="1"/>
  <c r="J79" i="10" s="1"/>
  <c r="O46" i="14"/>
  <c r="Q46" i="14" s="1"/>
  <c r="I78" i="10" s="1"/>
  <c r="J78" i="10" s="1"/>
  <c r="O45" i="14"/>
  <c r="Q45" i="14" s="1"/>
  <c r="I77" i="10" s="1"/>
  <c r="J77" i="10" s="1"/>
  <c r="O44" i="14"/>
  <c r="Q44" i="14" s="1"/>
  <c r="I76" i="10" s="1"/>
  <c r="J76" i="10" s="1"/>
  <c r="O43" i="14"/>
  <c r="Q43" i="14" s="1"/>
  <c r="I75" i="10" s="1"/>
  <c r="J75" i="10" s="1"/>
  <c r="O35" i="14"/>
  <c r="Q35" i="14" s="1"/>
  <c r="F84" i="10" s="1"/>
  <c r="G84" i="10" s="1"/>
  <c r="O34" i="14"/>
  <c r="Q34" i="14" s="1"/>
  <c r="F83" i="10" s="1"/>
  <c r="G83" i="10" s="1"/>
  <c r="O33" i="14"/>
  <c r="Q33" i="14" s="1"/>
  <c r="F82" i="10" s="1"/>
  <c r="G82" i="10" s="1"/>
  <c r="O32" i="14"/>
  <c r="Q32" i="14" s="1"/>
  <c r="F81" i="10" s="1"/>
  <c r="G81" i="10" s="1"/>
  <c r="O31" i="14"/>
  <c r="Q31" i="14" s="1"/>
  <c r="F80" i="10" s="1"/>
  <c r="G80" i="10" s="1"/>
  <c r="O30" i="14"/>
  <c r="Q30" i="14" s="1"/>
  <c r="F79" i="10" s="1"/>
  <c r="G79" i="10" s="1"/>
  <c r="O29" i="14"/>
  <c r="Q29" i="14" s="1"/>
  <c r="F78" i="10" s="1"/>
  <c r="G78" i="10" s="1"/>
  <c r="O28" i="14"/>
  <c r="Q28" i="14" s="1"/>
  <c r="F77" i="10" s="1"/>
  <c r="G77" i="10" s="1"/>
  <c r="O27" i="14"/>
  <c r="Q27" i="14" s="1"/>
  <c r="F76" i="10" s="1"/>
  <c r="G76" i="10" s="1"/>
  <c r="O26" i="14"/>
  <c r="Q26" i="14" s="1"/>
  <c r="F75" i="10" s="1"/>
  <c r="G75" i="10" s="1"/>
  <c r="O18" i="14"/>
  <c r="Q18" i="14" s="1"/>
  <c r="C84" i="10" s="1"/>
  <c r="D84" i="10" s="1"/>
  <c r="O17" i="14"/>
  <c r="Q17" i="14" s="1"/>
  <c r="C83" i="10" s="1"/>
  <c r="D83" i="10" s="1"/>
  <c r="O16" i="14"/>
  <c r="Q16" i="14" s="1"/>
  <c r="C82" i="10" s="1"/>
  <c r="D82" i="10" s="1"/>
  <c r="O15" i="14"/>
  <c r="Q15" i="14" s="1"/>
  <c r="C81" i="10" s="1"/>
  <c r="D81" i="10" s="1"/>
  <c r="O14" i="14"/>
  <c r="Q14" i="14" s="1"/>
  <c r="C80" i="10" s="1"/>
  <c r="D80" i="10" s="1"/>
  <c r="O13" i="14"/>
  <c r="Q13" i="14" s="1"/>
  <c r="C79" i="10" s="1"/>
  <c r="D79" i="10" s="1"/>
  <c r="O12" i="14"/>
  <c r="Q12" i="14" s="1"/>
  <c r="C78" i="10" s="1"/>
  <c r="D78" i="10" s="1"/>
  <c r="O11" i="14"/>
  <c r="Q11" i="14" s="1"/>
  <c r="C77" i="10" s="1"/>
  <c r="D77" i="10" s="1"/>
  <c r="O10" i="14"/>
  <c r="Q10" i="14" s="1"/>
  <c r="C76" i="10" s="1"/>
  <c r="D76" i="10" s="1"/>
  <c r="O9" i="14"/>
  <c r="Q9" i="14" s="1"/>
  <c r="C75" i="10" s="1"/>
  <c r="D75" i="10" s="1"/>
  <c r="J36" i="21"/>
  <c r="D7" i="21" s="1"/>
  <c r="J13" i="21"/>
  <c r="J25" i="21"/>
  <c r="J21" i="21"/>
  <c r="J28" i="21"/>
  <c r="J24" i="21"/>
  <c r="J17" i="21"/>
  <c r="H35" i="17"/>
  <c r="C38" i="17"/>
  <c r="J18" i="21"/>
  <c r="G14" i="20"/>
  <c r="J20" i="21"/>
  <c r="F12" i="21"/>
  <c r="G37" i="21"/>
  <c r="I35" i="17"/>
  <c r="I14" i="20"/>
  <c r="D13" i="21"/>
  <c r="F13" i="21" s="1"/>
  <c r="D37" i="21"/>
  <c r="Q80" i="2"/>
  <c r="Q77" i="2"/>
  <c r="O337" i="10" l="1"/>
  <c r="Q330" i="10"/>
  <c r="R330" i="10" s="1"/>
  <c r="Q333" i="10"/>
  <c r="R333" i="10" s="1"/>
  <c r="Q76" i="2"/>
  <c r="M126" i="10"/>
  <c r="N126" i="10" s="1"/>
  <c r="M125" i="10"/>
  <c r="N125" i="10" s="1"/>
  <c r="C330" i="10"/>
  <c r="D330" i="10" s="1"/>
  <c r="D337" i="10" s="1"/>
  <c r="Q78" i="2"/>
  <c r="Q81" i="2"/>
  <c r="K582" i="10"/>
  <c r="P538" i="10"/>
  <c r="R540" i="10" s="1"/>
  <c r="Q58" i="10" s="1"/>
  <c r="G123" i="10"/>
  <c r="D253" i="10"/>
  <c r="S85" i="10"/>
  <c r="M100" i="10"/>
  <c r="G135" i="10"/>
  <c r="I169" i="10"/>
  <c r="G288" i="10"/>
  <c r="E365" i="10"/>
  <c r="S411" i="10"/>
  <c r="J497" i="10"/>
  <c r="S497" i="10"/>
  <c r="K566" i="10"/>
  <c r="N566" i="10"/>
  <c r="Q566" i="10"/>
  <c r="S100" i="10"/>
  <c r="G253" i="10"/>
  <c r="J411" i="10"/>
  <c r="R412" i="10" s="1"/>
  <c r="O169" i="10"/>
  <c r="H240" i="10"/>
  <c r="K337" i="10"/>
  <c r="Q312" i="10"/>
  <c r="J378" i="10"/>
  <c r="G85" i="10"/>
  <c r="L169" i="10"/>
  <c r="N365" i="10"/>
  <c r="C18" i="19"/>
  <c r="F17" i="19" s="1"/>
  <c r="C25" i="19" s="1"/>
  <c r="E34" i="19"/>
  <c r="C12" i="19"/>
  <c r="C15" i="19"/>
  <c r="F14" i="19" s="1"/>
  <c r="C23" i="19" s="1"/>
  <c r="J85" i="10"/>
  <c r="P85" i="10"/>
  <c r="J100" i="10"/>
  <c r="P100" i="10"/>
  <c r="K240" i="10"/>
  <c r="N240" i="10"/>
  <c r="Q230" i="10"/>
  <c r="G275" i="10"/>
  <c r="J288" i="10"/>
  <c r="M288" i="10"/>
  <c r="J318" i="10"/>
  <c r="H365" i="10"/>
  <c r="Q365" i="10"/>
  <c r="F37" i="21"/>
  <c r="D85" i="10"/>
  <c r="M85" i="10"/>
  <c r="F169" i="10"/>
  <c r="E240" i="10"/>
  <c r="J275" i="10"/>
  <c r="P288" i="10"/>
  <c r="K365" i="10"/>
  <c r="H37" i="21"/>
  <c r="J30" i="21"/>
  <c r="Q72" i="9"/>
  <c r="B11" i="19"/>
  <c r="F11" i="19" s="1"/>
  <c r="C21" i="19" s="1"/>
  <c r="J26" i="21"/>
  <c r="J37" i="21" s="1"/>
  <c r="M27" i="18"/>
  <c r="Q83" i="2"/>
  <c r="Q334" i="10"/>
  <c r="R334" i="10" s="1"/>
  <c r="R337" i="10" l="1"/>
  <c r="R173" i="10"/>
  <c r="R340" i="10"/>
  <c r="N129" i="10"/>
  <c r="R136" i="10" s="1"/>
  <c r="R499" i="10"/>
  <c r="Q55" i="10" s="1"/>
  <c r="R582" i="10"/>
  <c r="Q60" i="10" s="1"/>
  <c r="R252" i="10"/>
  <c r="R102" i="10"/>
  <c r="R296" i="10"/>
  <c r="M378" i="10"/>
  <c r="R379" i="10" s="1"/>
  <c r="Q53" i="10" l="1"/>
  <c r="Q62" i="10" s="1"/>
  <c r="Q63" i="10" s="1"/>
  <c r="A3" i="19" s="1"/>
  <c r="A21" i="19" l="1"/>
  <c r="F21" i="19" s="1"/>
  <c r="J21" i="19" s="1"/>
  <c r="J29" i="19" s="1"/>
  <c r="A25" i="19"/>
  <c r="F25" i="19" s="1"/>
  <c r="J25" i="19" s="1"/>
  <c r="A23" i="19"/>
  <c r="F23" i="19" s="1"/>
  <c r="J23" i="19" s="1"/>
  <c r="I7" i="20" l="1"/>
  <c r="I16" i="20" s="1"/>
  <c r="G20" i="20" s="1"/>
  <c r="I20" i="20" s="1"/>
  <c r="I24" i="20" s="1"/>
  <c r="E25" i="20" s="1"/>
  <c r="I25" i="20" s="1"/>
  <c r="D6" i="21"/>
  <c r="D8" i="21" s="1"/>
  <c r="D33" i="19"/>
  <c r="G33" i="19" s="1"/>
  <c r="C37" i="17"/>
  <c r="C39" i="17" s="1"/>
  <c r="I12" i="21" l="1"/>
  <c r="I20" i="21"/>
  <c r="K20" i="21" s="1"/>
  <c r="I31" i="21"/>
  <c r="K31" i="21" s="1"/>
  <c r="I23" i="21"/>
  <c r="K23" i="21" s="1"/>
  <c r="I25" i="21"/>
  <c r="K25" i="21" s="1"/>
  <c r="I30" i="21"/>
  <c r="K30" i="21" s="1"/>
  <c r="I24" i="21"/>
  <c r="K24" i="21" s="1"/>
  <c r="I21" i="21"/>
  <c r="K21" i="21" s="1"/>
  <c r="I28" i="21"/>
  <c r="K28" i="21" s="1"/>
  <c r="I22" i="21"/>
  <c r="K22" i="21" s="1"/>
  <c r="I14" i="21"/>
  <c r="K14" i="21" s="1"/>
  <c r="I15" i="21"/>
  <c r="K15" i="21" s="1"/>
  <c r="I18" i="21"/>
  <c r="K18" i="21" s="1"/>
  <c r="I26" i="21"/>
  <c r="K26" i="21" s="1"/>
  <c r="I16" i="21"/>
  <c r="K16" i="21" s="1"/>
  <c r="I17" i="21"/>
  <c r="K17" i="21" s="1"/>
  <c r="I19" i="21"/>
  <c r="K19" i="21" s="1"/>
  <c r="I13" i="21"/>
  <c r="K13" i="21" s="1"/>
  <c r="I29" i="21"/>
  <c r="K29" i="21" s="1"/>
  <c r="G26" i="20"/>
  <c r="I26" i="20" s="1"/>
  <c r="G27" i="20"/>
  <c r="I27" i="20" s="1"/>
  <c r="I37" i="21" l="1"/>
  <c r="K12" i="21"/>
  <c r="K37" i="21" s="1"/>
  <c r="L37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atk10</author>
    <author>Rakennusliitto</author>
  </authors>
  <commentList>
    <comment ref="G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Kantikkaat tulo- ja poistosäleiköt normiajoitetaan kokoojalaatikon liitosyhteen (pyöreän) halkaisijan mm koon </t>
        </r>
        <r>
          <rPr>
            <b/>
            <sz val="9"/>
            <color indexed="81"/>
            <rFont val="Tahoma"/>
            <family val="2"/>
          </rPr>
          <t>mukaisesti taulukosta.</t>
        </r>
      </text>
    </comment>
    <comment ref="J85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Kantikkaat ilmamääräsäätimet (IMS) ja kantikkaat palopellit normiajoitetaan Mom.2. Suorakaidekanavan ja osien asennustaulukosta sarakkeen 1. mukaisesti.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Rakennusliitto</author>
  </authors>
  <commentList>
    <comment ref="F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1-Taulukon mukaan jos kyseessä on pelkkä tulo- tai poistokoje</t>
        </r>
      </text>
    </comment>
    <comment ref="E1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Koje sisältää 6-osaa, Pakettiin erikseen liitettävät koneosat hinnoitellaan koneosien normituntitaulukon mukaan. Päälleasennuksessa +30%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Rakennusliitto</author>
    <author>Räsänen Niko</author>
  </authors>
  <commentList>
    <comment ref="K1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K30" authorId="0" shapeId="0" xr:uid="{1C2DA7B0-8F1E-4AAA-A93D-89209897C986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K4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45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K56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59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K7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75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I88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1. Esim: Enervent PLAZA, PANDION 
40-99kg
2. Esim: Enervent PELICAN, PEGASOS
100-210kg</t>
        </r>
      </text>
    </comment>
  </commentList>
</comments>
</file>

<file path=xl/sharedStrings.xml><?xml version="1.0" encoding="utf-8"?>
<sst xmlns="http://schemas.openxmlformats.org/spreadsheetml/2006/main" count="1473" uniqueCount="533">
  <si>
    <t>NH</t>
  </si>
  <si>
    <t>mm</t>
  </si>
  <si>
    <t>Eristetty</t>
  </si>
  <si>
    <t>Kanava</t>
  </si>
  <si>
    <t xml:space="preserve"> NH</t>
  </si>
  <si>
    <t>1.</t>
  </si>
  <si>
    <t>2.</t>
  </si>
  <si>
    <t>3.</t>
  </si>
  <si>
    <t>4.</t>
  </si>
  <si>
    <t>5.</t>
  </si>
  <si>
    <t>Patteri</t>
  </si>
  <si>
    <t>Äänenvaimennin</t>
  </si>
  <si>
    <t>NH / kpl</t>
  </si>
  <si>
    <t>VSS iv-koje. Kanavat hinnoitellaan taulukon mukaan</t>
  </si>
  <si>
    <t>KOKO</t>
  </si>
  <si>
    <t>0 - 250</t>
  </si>
  <si>
    <t>315 - 400</t>
  </si>
  <si>
    <t>500 - 630</t>
  </si>
  <si>
    <t>800 - 1000</t>
  </si>
  <si>
    <t>1250 -</t>
  </si>
  <si>
    <t>Tärinän eristimet</t>
  </si>
  <si>
    <t>Suojaverkko</t>
  </si>
  <si>
    <t>Jalat</t>
  </si>
  <si>
    <t>Kangasliitin</t>
  </si>
  <si>
    <t>Johtosiivistö</t>
  </si>
  <si>
    <t>Puhalluskartio</t>
  </si>
  <si>
    <t>Puhallin</t>
  </si>
  <si>
    <t>Huippuimuri</t>
  </si>
  <si>
    <t>Imukartio</t>
  </si>
  <si>
    <t>Kiljotiini, Kaarisakset, Kantti, Lokkari, Mankeli, Pistehitsi, Sikkikone sähkökäyttöinen.</t>
  </si>
  <si>
    <t>Yksinkertainen kanavan teko</t>
  </si>
  <si>
    <t>NH / m2</t>
  </si>
  <si>
    <t xml:space="preserve">Yksinkertainen </t>
  </si>
  <si>
    <t>LKT</t>
  </si>
  <si>
    <t>TL</t>
  </si>
  <si>
    <t>&gt; 0,59 m2</t>
  </si>
  <si>
    <t>&lt; 0,6 m2</t>
  </si>
  <si>
    <t>Putkituki / Kulmatuki</t>
  </si>
  <si>
    <t>D cm</t>
  </si>
  <si>
    <t>Tuulikaappikoje, pientalo LTO ullakkomalli</t>
  </si>
  <si>
    <t xml:space="preserve"> yli 1 mm pellille korotus</t>
  </si>
  <si>
    <t>Kanavapuhallin</t>
  </si>
  <si>
    <t>m 3 / s</t>
  </si>
  <si>
    <t>Hinnoittelun käyttö edellyttää asialliset verstaskoneet</t>
  </si>
  <si>
    <t>Talotuuletin, Liesikupu, Tuuletin</t>
  </si>
  <si>
    <t>Koko</t>
  </si>
  <si>
    <t>Moottoripelti</t>
  </si>
  <si>
    <t>Rautarakenteet teko ja asennus  hinnottelematon työ</t>
  </si>
  <si>
    <t>KOJEEN TUOTTO  m3 / s</t>
  </si>
  <si>
    <t>Paino kg</t>
  </si>
  <si>
    <t>NH /kpl</t>
  </si>
  <si>
    <t>Liitäntäkoko</t>
  </si>
  <si>
    <t xml:space="preserve"> - 50 mm</t>
  </si>
  <si>
    <t xml:space="preserve"> 50 - mm</t>
  </si>
  <si>
    <t>Sarake</t>
  </si>
  <si>
    <t xml:space="preserve"> 500 -</t>
  </si>
  <si>
    <t>6.</t>
  </si>
  <si>
    <t>7.</t>
  </si>
  <si>
    <t>8.</t>
  </si>
  <si>
    <t>9.</t>
  </si>
  <si>
    <t>10.</t>
  </si>
  <si>
    <t>Rivi</t>
  </si>
  <si>
    <t>Jäähdytyskoje</t>
  </si>
  <si>
    <t>Laite</t>
  </si>
  <si>
    <t>Urakan ulkopuolinen työ jolla on olemassa kattava hinnoittelu</t>
  </si>
  <si>
    <t>Hinnoittelu taulukon mukaan</t>
  </si>
  <si>
    <t>51 - 100 mm</t>
  </si>
  <si>
    <t xml:space="preserve"> </t>
  </si>
  <si>
    <t>Eristetty kanava</t>
  </si>
  <si>
    <t xml:space="preserve">Eristetty kanava </t>
  </si>
  <si>
    <t xml:space="preserve">Yksinkertainen MY keskeinen / KY 90-45-30 </t>
  </si>
  <si>
    <t>Eristetty  MY keskeinen KY / 90-45-30</t>
  </si>
  <si>
    <t>Eristetty osa /  kanava mitataan ulkokuoren mukaan</t>
  </si>
  <si>
    <t>PYÖREÄT KANAVAT JA OSAT</t>
  </si>
  <si>
    <t>Äänieristyspatja asennettuna kaikki koot</t>
  </si>
  <si>
    <t>Pakettiin erikseen liitettävät koneosat</t>
  </si>
  <si>
    <t>Yksinkertainen MY ja KY epäkeskeinen</t>
  </si>
  <si>
    <t>IV-LYHENTEET</t>
  </si>
  <si>
    <t>PK6025-ZN05</t>
  </si>
  <si>
    <t>P-kanava 250 s=0,5 l=6</t>
  </si>
  <si>
    <t>P-kanava tulpattu 250 s=0,5 l=6</t>
  </si>
  <si>
    <t>PKL6050025</t>
  </si>
  <si>
    <t>Lämpöeristetty kanava 250 Le=50 l=6</t>
  </si>
  <si>
    <t>PKÄ6050025</t>
  </si>
  <si>
    <t>Äänieristetty kanava 250 Äe=50 l=6</t>
  </si>
  <si>
    <t>PKP6050025</t>
  </si>
  <si>
    <t>Paloeristetty kanava 250 Pe=50 l=6</t>
  </si>
  <si>
    <t>Kantikas kanava 300x200 s=0,5 l=2</t>
  </si>
  <si>
    <t>KYK90025</t>
  </si>
  <si>
    <t>Kulmayhde 90 250</t>
  </si>
  <si>
    <t>KYK45025</t>
  </si>
  <si>
    <t>Kulmayhde 45 250</t>
  </si>
  <si>
    <t>LKTK025</t>
  </si>
  <si>
    <t>Lähtökaulus tasopinnasta 250</t>
  </si>
  <si>
    <t>LKPK025-025</t>
  </si>
  <si>
    <t>Lähtökaulus putkelle 250-250</t>
  </si>
  <si>
    <t>POK025</t>
  </si>
  <si>
    <t>Pohja 250</t>
  </si>
  <si>
    <t>LYPK025</t>
  </si>
  <si>
    <t>Liitin putkelle 250</t>
  </si>
  <si>
    <t>TLPP025</t>
  </si>
  <si>
    <t>Tarkastusluukku pyöreälle 250</t>
  </si>
  <si>
    <t>TLTP040x020</t>
  </si>
  <si>
    <t>Tarkastusluukku tasopintaan 400x200</t>
  </si>
  <si>
    <t>MYK025-0200</t>
  </si>
  <si>
    <t>Muuntoyhde 250-200</t>
  </si>
  <si>
    <t>TLPP025-A30</t>
  </si>
  <si>
    <t>Tarkastusluukku paloluokka A30 E=60</t>
  </si>
  <si>
    <t>SP025</t>
  </si>
  <si>
    <t>Säätöpelti 250 Esim:PRA,Iiris, MRS</t>
  </si>
  <si>
    <t>PP025</t>
  </si>
  <si>
    <t>Palopelti 250</t>
  </si>
  <si>
    <t>THPK04003150250</t>
  </si>
  <si>
    <t>T-Haara 400/315/250</t>
  </si>
  <si>
    <t>MYE025-0200</t>
  </si>
  <si>
    <t>Muuntoyhde epäkeskeinen 250-200</t>
  </si>
  <si>
    <t>USAV250</t>
  </si>
  <si>
    <t>Ulkosäleikkö 250</t>
  </si>
  <si>
    <t>ÄV02501200</t>
  </si>
  <si>
    <t>Äänenvaimennin 250 l=1200</t>
  </si>
  <si>
    <t>PK2300x200 ZN05</t>
  </si>
  <si>
    <t>PKT6025-ZN05</t>
  </si>
  <si>
    <t>MY;t ja KY;t =ympäryysmitta x kerroin</t>
  </si>
  <si>
    <t>NH/kpl</t>
  </si>
  <si>
    <t xml:space="preserve">     0,20 - 0,36</t>
  </si>
  <si>
    <t xml:space="preserve">     0,36 - 0,64</t>
  </si>
  <si>
    <t xml:space="preserve">     0,64 - 1,00</t>
  </si>
  <si>
    <t xml:space="preserve">     1,00 - 1,44</t>
  </si>
  <si>
    <t xml:space="preserve">     1,44 - 1,96</t>
  </si>
  <si>
    <t xml:space="preserve">     2,56 - 3,24</t>
  </si>
  <si>
    <t xml:space="preserve">     3,24 - 4,00</t>
  </si>
  <si>
    <t>Koje sisältää 3-osaa</t>
  </si>
  <si>
    <t>Tehdasvalmisteinen teline kojeille sisältyy asennustapaan</t>
  </si>
  <si>
    <t>Työnormit sisältää haalauksen nosturin ulottuvilta iv-konehuoneeseen</t>
  </si>
  <si>
    <t>Ääniloukku, Suodatinosa</t>
  </si>
  <si>
    <t xml:space="preserve">     0,16 - 0,20</t>
  </si>
  <si>
    <t xml:space="preserve">     0,10 - 0,16</t>
  </si>
  <si>
    <t>0 - 1,00</t>
  </si>
  <si>
    <t>1,00 - 2,00</t>
  </si>
  <si>
    <t>2,00 - 3,50</t>
  </si>
  <si>
    <t>3,50 - 5,00</t>
  </si>
  <si>
    <t>7,00 -10,00</t>
  </si>
  <si>
    <t>5,00 - 7,00</t>
  </si>
  <si>
    <t>7,00 - 10,00</t>
  </si>
  <si>
    <t>Eristetty  MY ja KY epäkeskeinen</t>
  </si>
  <si>
    <t>KONEOSIEN NORMITUNTITAULUKKO</t>
  </si>
  <si>
    <t>ITSETEHTYJEN JA VALMIIDEN OSIEN ASENNUS</t>
  </si>
  <si>
    <t>ITSETEHTYIHIN KANAVIIN JA OSIIN</t>
  </si>
  <si>
    <t xml:space="preserve">                                                   </t>
  </si>
  <si>
    <t>hinnoitellaan koneosien normituntitaulukon mukaan</t>
  </si>
  <si>
    <t>Tehdasvalmisteiset</t>
  </si>
  <si>
    <t>OSIEN TEKO</t>
  </si>
  <si>
    <t>m</t>
  </si>
  <si>
    <t>Työnantaja</t>
  </si>
  <si>
    <t>Työnumero</t>
  </si>
  <si>
    <t>Työmaa</t>
  </si>
  <si>
    <t>Välimittaus</t>
  </si>
  <si>
    <t>Loppumittaus</t>
  </si>
  <si>
    <t>KPL</t>
  </si>
  <si>
    <t xml:space="preserve">   1. Eristämätön kanava</t>
  </si>
  <si>
    <t xml:space="preserve">   TARKASTUSLUUKKU (kantikas ja pyöreä)</t>
  </si>
  <si>
    <t xml:space="preserve">  Eristämätön</t>
  </si>
  <si>
    <t xml:space="preserve">  Eristetty</t>
  </si>
  <si>
    <t xml:space="preserve">   8. Eristämätön Haara, saapasosa</t>
  </si>
  <si>
    <t>Jälkilämmityspatteri ja jäähdytyspatteri hinnoitellaan kanavassa kulkevan</t>
  </si>
  <si>
    <t>ilmamäärän mukaan taulukosta.</t>
  </si>
  <si>
    <t>NH/m</t>
  </si>
  <si>
    <t>0 - 1m2</t>
  </si>
  <si>
    <t>1,2m2</t>
  </si>
  <si>
    <t>1,4m2</t>
  </si>
  <si>
    <t>1,6m2</t>
  </si>
  <si>
    <t>1,8m2</t>
  </si>
  <si>
    <t>2m2</t>
  </si>
  <si>
    <t>2,4m2</t>
  </si>
  <si>
    <t>2,8m2</t>
  </si>
  <si>
    <t>3,2m2</t>
  </si>
  <si>
    <t>3,6m2</t>
  </si>
  <si>
    <t>3,8m2</t>
  </si>
  <si>
    <t>4m2</t>
  </si>
  <si>
    <t>4,4m2</t>
  </si>
  <si>
    <t>4,8m2</t>
  </si>
  <si>
    <t>5m2</t>
  </si>
  <si>
    <t>5,4m2</t>
  </si>
  <si>
    <t>5,8m2</t>
  </si>
  <si>
    <t>2 x 1</t>
  </si>
  <si>
    <t>6m2</t>
  </si>
  <si>
    <t>6,4m2</t>
  </si>
  <si>
    <t>6,8m2</t>
  </si>
  <si>
    <t>7,2m2</t>
  </si>
  <si>
    <t>7,6m2</t>
  </si>
  <si>
    <t>3 x 1</t>
  </si>
  <si>
    <t>8m2</t>
  </si>
  <si>
    <t>Sivu a</t>
  </si>
  <si>
    <t>Sivu b mm</t>
  </si>
  <si>
    <t>1m2</t>
  </si>
  <si>
    <t>1,1m2</t>
  </si>
  <si>
    <t>1,3m2</t>
  </si>
  <si>
    <t>1,5m2</t>
  </si>
  <si>
    <t>1,7m2</t>
  </si>
  <si>
    <t>2,2m2</t>
  </si>
  <si>
    <t>1,9m2</t>
  </si>
  <si>
    <t>2,1m2</t>
  </si>
  <si>
    <t>2,6m2</t>
  </si>
  <si>
    <t>2,5m2</t>
  </si>
  <si>
    <t>3m2</t>
  </si>
  <si>
    <t>3,4m2</t>
  </si>
  <si>
    <t>5,2m2</t>
  </si>
  <si>
    <t>5,6m2</t>
  </si>
  <si>
    <t>6,2m2</t>
  </si>
  <si>
    <t>6,6m2</t>
  </si>
  <si>
    <t>7m2</t>
  </si>
  <si>
    <t>7,8m2</t>
  </si>
  <si>
    <t>8,6m2</t>
  </si>
  <si>
    <t>8,4m2</t>
  </si>
  <si>
    <t>9m2</t>
  </si>
  <si>
    <t>8,8m2</t>
  </si>
  <si>
    <t>9,4m2</t>
  </si>
  <si>
    <t xml:space="preserve">Sivun </t>
  </si>
  <si>
    <t>KANTIKAS ULKOSÄLEIKKÖ  *</t>
  </si>
  <si>
    <t>Perusnormitunnit</t>
  </si>
  <si>
    <t>Sivun</t>
  </si>
  <si>
    <t>Normituntien summa</t>
  </si>
  <si>
    <t>m2</t>
  </si>
  <si>
    <t>NH / a</t>
  </si>
  <si>
    <t>KPL / m</t>
  </si>
  <si>
    <t>NH /a</t>
  </si>
  <si>
    <t>Osien teko</t>
  </si>
  <si>
    <t>Kuittaus</t>
  </si>
  <si>
    <t>Työntekijä</t>
  </si>
  <si>
    <t xml:space="preserve"> ÄE-Kanavan muovitus</t>
  </si>
  <si>
    <t xml:space="preserve">  Piiri x m = m2</t>
  </si>
  <si>
    <t xml:space="preserve"> 0,3 x 0,2</t>
  </si>
  <si>
    <t xml:space="preserve"> 0,6 x 0,4</t>
  </si>
  <si>
    <t xml:space="preserve"> 1,2 x 0,8</t>
  </si>
  <si>
    <t>Etusivu</t>
  </si>
  <si>
    <t>Konehuonelisä, koskee kanavistoja</t>
  </si>
  <si>
    <t>Työskentelykorkeus lattasta tai maasta kanavaan yli</t>
  </si>
  <si>
    <t>+</t>
  </si>
  <si>
    <t xml:space="preserve">  RST - HST - tai pinnoitettu materiaali</t>
  </si>
  <si>
    <t xml:space="preserve">  Yli 1 mm pellistä tehty kanava</t>
  </si>
  <si>
    <t xml:space="preserve"> Mom. 1.</t>
  </si>
  <si>
    <t xml:space="preserve">  3.  Eristämätön kanava, Sovituspää, Kanavan katkaisu</t>
  </si>
  <si>
    <t xml:space="preserve">   7. Äänenvaimennin</t>
  </si>
  <si>
    <t xml:space="preserve">  Asennukset laboratoriossa ja erityistä puhtautta</t>
  </si>
  <si>
    <t xml:space="preserve">  vaativat työt, vaativampi kuin P1-luokka</t>
  </si>
  <si>
    <t xml:space="preserve">  1.  Eristämätön kanava, KY, MY, LKT, TY, SY pääte suuremman pään mukaan,</t>
  </si>
  <si>
    <t xml:space="preserve">       ilmasäätimet (IMS) ja palopellit</t>
  </si>
  <si>
    <t xml:space="preserve">  2.  Eristetty kanava KY, MY, LKT, TY, SY pääte suuremman pään mukaan</t>
  </si>
  <si>
    <t xml:space="preserve">  4.  Eristetty kanava, Sovituspää, Kanavan katkaisu, mitoitus ulkokuoren mukaan</t>
  </si>
  <si>
    <t>Päälleasennuksessa + 30% ei koske riviä 1</t>
  </si>
  <si>
    <t>Haitta%</t>
  </si>
  <si>
    <t xml:space="preserve">  </t>
  </si>
  <si>
    <t>PÄIVÄMÄÄRÄ</t>
  </si>
  <si>
    <t>YHT</t>
  </si>
  <si>
    <t>PALAUTUS</t>
  </si>
  <si>
    <t>JÄÄ</t>
  </si>
  <si>
    <t>D CM</t>
  </si>
  <si>
    <t>Mom. 1. Pyöreät kanavat ja osat 1 / Eristämätön kanava</t>
  </si>
  <si>
    <t>Mom.1. Pyöreät kanavat ja osat 2 / Eristetty kanava ÄE, LE, PE, - 50mm</t>
  </si>
  <si>
    <t>Mom.1. Pyöreät kanavat ja osat 6 / EYMA, Ulospuhallinhajoittaja</t>
  </si>
  <si>
    <t>Mom.1. Pyöreät kanavat ja osat 9 / Eristetty Haara, saapasosa</t>
  </si>
  <si>
    <t>Mom.1. Pyöreät kanavat ja osat 7 / Äänenvaimennin</t>
  </si>
  <si>
    <t>Mom.1. Pyöreät kanavat ja osat 8 / Eristetämätön Haara, saapasosa</t>
  </si>
  <si>
    <t>Mom.1. Pyöreät kanavat ja osat / Tarkastusluukku ( kantikas ja pyöreä)</t>
  </si>
  <si>
    <t>ERISTETTY</t>
  </si>
  <si>
    <t>ERISTÄMÄTÖN</t>
  </si>
  <si>
    <t>Liitetään urakkaan vain työkunnan niin halutessa</t>
  </si>
  <si>
    <t>Mom.1. Pyöreät kanavat ja osat / Kantikas ulkosäleikkö *</t>
  </si>
  <si>
    <t>Mom.1. Pyöreät kanavat ja osat  / Ulkosäleiköt *</t>
  </si>
  <si>
    <t xml:space="preserve">                 0 - 1</t>
  </si>
  <si>
    <t>Mom.2. Suorakaidekanavat / 2. eristetty kanava, KY, MY, LKT, TY, SY, pääte suuremman pään mukaan</t>
  </si>
  <si>
    <t>Mom.2. Suorakaidekanavat / 3. Eristämätön kanava, Sovituspää, Kanavan katkaisu</t>
  </si>
  <si>
    <t>Mom.2. Suorakaidekanavat / 4. Eristetty kanava, Sovituspää, Kanavan katkaisu, mitoitus ulkokuoren mukaan</t>
  </si>
  <si>
    <t>Koko mm</t>
  </si>
  <si>
    <t>Päivämäärä</t>
  </si>
  <si>
    <t>ILMANVAIHTOKONEET</t>
  </si>
  <si>
    <t>Mom.4. / 1. Tuloilmakoje (pelkkä tulo- tai poistokoje)</t>
  </si>
  <si>
    <t>Mom.4. / 2. Tulo- ja poistoilmakojepaketti</t>
  </si>
  <si>
    <t xml:space="preserve">  m3 / s</t>
  </si>
  <si>
    <t>Mom.4. / koneosien normituntitaulukko / jälkilämmityspatteri ja jäähdytyspatteri kanavassa kulkevan ilmamäärän mukaan taulukosta</t>
  </si>
  <si>
    <t>2. Patteri</t>
  </si>
  <si>
    <t>3. Äänenvaimennin</t>
  </si>
  <si>
    <t>4. Puhallin</t>
  </si>
  <si>
    <t>Mom.5. Pienkojeet</t>
  </si>
  <si>
    <t>Tasotuuletin, liesikupu, tuuletin</t>
  </si>
  <si>
    <t>MOM.6. AKSIAALIPUHALTIMET</t>
  </si>
  <si>
    <t>Mom.6. Aksiaalipuhaltimet / 1. Tärinän eristimet</t>
  </si>
  <si>
    <t>Mom.6. Aksiaalipuhaltimet / 2. Suojaverkko</t>
  </si>
  <si>
    <t>Mom.6. Aksiaalipuhaltimet / 3. Jalat</t>
  </si>
  <si>
    <t>Mom.6. Aksiaalipuhaltimet / 4. Kangasliitin</t>
  </si>
  <si>
    <t>Mom.6. Aksiaalipuhaltimet / 5. Johtosiivistö</t>
  </si>
  <si>
    <t>Mom.6. Aksiaalipuhaltimet / 6. Imukartio</t>
  </si>
  <si>
    <t>Mom.6. Aksiaalipuhaltimet / 7. Puhalluskartio</t>
  </si>
  <si>
    <t>Mom.6. Aksiaalipuhaltimet / 8. Ääniloukku, Suodatinosa</t>
  </si>
  <si>
    <t>Mom.6. Aksiaalipuhaltimet / 9. Moottoripelti</t>
  </si>
  <si>
    <t>Mom.6. Aksiaalipuhaltimet / 10. Puhallin</t>
  </si>
  <si>
    <t xml:space="preserve"> 1250 -</t>
  </si>
  <si>
    <t>Mom.6. Aksiaalipuhaltimet / Huippuimuri / Imuri</t>
  </si>
  <si>
    <t>Mom.6. Aksiaalipuhaltimet / Huippuimuri / LV - Piippu</t>
  </si>
  <si>
    <t>Haittalisä</t>
  </si>
  <si>
    <t>Nimike</t>
  </si>
  <si>
    <t>Määrä</t>
  </si>
  <si>
    <t>Normiaika</t>
  </si>
  <si>
    <t>NORMITUNTEINA SOVITUT TYÖT</t>
  </si>
  <si>
    <t>Yhteensä</t>
  </si>
  <si>
    <t>URAKKATUNNIT</t>
  </si>
  <si>
    <t>NHK1</t>
  </si>
  <si>
    <t>NHK2</t>
  </si>
  <si>
    <t>NHK3</t>
  </si>
  <si>
    <t>NHK 1</t>
  </si>
  <si>
    <t>NHK 2</t>
  </si>
  <si>
    <t>NHK 3</t>
  </si>
  <si>
    <t>asentajat</t>
  </si>
  <si>
    <t>ulosmaksu</t>
  </si>
  <si>
    <t>yht. tunnit</t>
  </si>
  <si>
    <t>yht. €</t>
  </si>
  <si>
    <t>yht</t>
  </si>
  <si>
    <t xml:space="preserve">URAKKASUMMA </t>
  </si>
  <si>
    <t>€</t>
  </si>
  <si>
    <t>h</t>
  </si>
  <si>
    <t>URAKKA KTA .</t>
  </si>
  <si>
    <t>NHK- MUUTTUU KESKEN URAKAN</t>
  </si>
  <si>
    <t>H</t>
  </si>
  <si>
    <t>x</t>
  </si>
  <si>
    <t>=</t>
  </si>
  <si>
    <t>%</t>
  </si>
  <si>
    <t>NH    X</t>
  </si>
  <si>
    <t>€  =</t>
  </si>
  <si>
    <t>URAKKASUMMA</t>
  </si>
  <si>
    <t>URAKAN KESKITUNTIANSIO</t>
  </si>
  <si>
    <t>€/h</t>
  </si>
  <si>
    <t>Normitunteina sovitut</t>
  </si>
  <si>
    <t>Vaativuus ja olosuhdelisät</t>
  </si>
  <si>
    <t>800-1000</t>
  </si>
  <si>
    <t>VÄLIPOHJAT</t>
  </si>
  <si>
    <t>päivämäärä</t>
  </si>
  <si>
    <t>yht.</t>
  </si>
  <si>
    <t>välipohjat yht</t>
  </si>
  <si>
    <t>Urakkasumma</t>
  </si>
  <si>
    <t>Tes:n takuupalkka</t>
  </si>
  <si>
    <t>€ x</t>
  </si>
  <si>
    <t>h    =</t>
  </si>
  <si>
    <t>Erotus</t>
  </si>
  <si>
    <t xml:space="preserve">      =</t>
  </si>
  <si>
    <t xml:space="preserve">Urakkasumman ja </t>
  </si>
  <si>
    <t>takuupalkan erotus x 5,3% = Etumieslisä</t>
  </si>
  <si>
    <t>€ =</t>
  </si>
  <si>
    <t xml:space="preserve">Miinus: ennakko x etumiestunnit </t>
  </si>
  <si>
    <t>Etumieslisää maksetaan</t>
  </si>
  <si>
    <t>etumieslisä tunnilta</t>
  </si>
  <si>
    <t>€/</t>
  </si>
  <si>
    <t>1 Etumies</t>
  </si>
  <si>
    <t>h x</t>
  </si>
  <si>
    <t>maksetaan</t>
  </si>
  <si>
    <t>2 Etumies</t>
  </si>
  <si>
    <t>Etumieslisän laskenta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</si>
  <si>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</si>
  <si>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</si>
  <si>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</si>
  <si>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</si>
  <si>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</si>
  <si>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</si>
  <si>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URAKKA</t>
  </si>
  <si>
    <t xml:space="preserve"> NIMI</t>
  </si>
  <si>
    <t>TUNNIT</t>
  </si>
  <si>
    <t>ko osuus</t>
  </si>
  <si>
    <t xml:space="preserve">PALKKA </t>
  </si>
  <si>
    <t>OSUUS</t>
  </si>
  <si>
    <t>PALKAT YHT</t>
  </si>
  <si>
    <t>MAKSETAAN</t>
  </si>
  <si>
    <t>MAKSETTU PALKKA = ULOSMAKSU X URAKKATUNNIT</t>
  </si>
  <si>
    <t>URAKKA OSUUS = URAKAN JAKO-OSUUS X URAKKASUMMA :URAKAN JOKO-OSUUKSIEN SUMMA</t>
  </si>
  <si>
    <t>MAKSETUT PALKAT YHT. = MAKSETTU PALKKA + VÄLIPOHJAT</t>
  </si>
  <si>
    <t>MAKSETAAN = URAKKA OSUUS - MAKSETUT PALKAT YHT.</t>
  </si>
  <si>
    <t>Urakkapöytäkirja</t>
  </si>
  <si>
    <t>Pyöreät kanavat ja osat</t>
  </si>
  <si>
    <t>Suorakaidekanavat</t>
  </si>
  <si>
    <t>Venttiilit</t>
  </si>
  <si>
    <t>VALMIIN KANAVAN JA OSIEN ASENNUS</t>
  </si>
  <si>
    <t>Tarkastusluukku, ulkosäleiköt</t>
  </si>
  <si>
    <t>Pienkojeet</t>
  </si>
  <si>
    <t>Aksiaalipuhaltimet</t>
  </si>
  <si>
    <t>Huippuimuri, LV-Piippu</t>
  </si>
  <si>
    <t>Vaativuus, olosuhdelisät</t>
  </si>
  <si>
    <t>Urakkatunnit</t>
  </si>
  <si>
    <t>Välipohjat</t>
  </si>
  <si>
    <t>Etumieslisä</t>
  </si>
  <si>
    <t>NHK-muuttuu kesken urakan</t>
  </si>
  <si>
    <t xml:space="preserve">Ilmanvaihtokoneet, koneosat </t>
  </si>
  <si>
    <t>Jakolista</t>
  </si>
  <si>
    <t>Haitta %</t>
  </si>
  <si>
    <t>Etumies</t>
  </si>
  <si>
    <t>500-</t>
  </si>
  <si>
    <t>piiri x m = m2</t>
  </si>
  <si>
    <t>Vaativuus ja olosuhdelisät:</t>
  </si>
  <si>
    <t>m/kpl</t>
  </si>
  <si>
    <t xml:space="preserve">SIVU A + SIVU B x 2 x 1m = m2   </t>
  </si>
  <si>
    <t xml:space="preserve">Mom.3. Venttiilit / 1. Tulo ja poistosäleiköt Esim: TRYa, Colibri, SVQ </t>
  </si>
  <si>
    <t>Mom.3. Venttiilit / 2. piennopeusjakolaite Esim: FMH</t>
  </si>
  <si>
    <t>Mom.3. / Venttiilit / 5. Tulo ja poistoventtiilit Esim. URH, EXCa, ULA, KSO, KTS, KVBa, SET, RCL</t>
  </si>
  <si>
    <t>Mom.3. / Venttiilit / 6. Paineenalennus ja tasauslaatikot THA, B, C, K, L, TRC, PRG, PRH, PCA.</t>
  </si>
  <si>
    <t>Jos pyörivä LTO-yksikkö tulee osina työmaalle, kokoaminen</t>
  </si>
  <si>
    <t>hinnoittelematonta työtä.</t>
  </si>
  <si>
    <t>40-99</t>
  </si>
  <si>
    <t>100-210</t>
  </si>
  <si>
    <t>Mom.5. Pienkojeet / Ilmanvaihtolaitteet omakotitaloihin, toimitiloihin yms.</t>
  </si>
  <si>
    <t>100-160</t>
  </si>
  <si>
    <t>200-315</t>
  </si>
  <si>
    <t>Sälepelti,väliosa, kostutin</t>
  </si>
  <si>
    <t>Kohde poistopuhallin kone</t>
  </si>
  <si>
    <t>Kohde poistopuheltimen "kärsä"</t>
  </si>
  <si>
    <t>Talotekniikkapalkit</t>
  </si>
  <si>
    <t>Talotekniikkapalkin pituus = palkin pituus + suojapellin pituus</t>
  </si>
  <si>
    <t>Pituus mm</t>
  </si>
  <si>
    <t>Mom.5. Pienkojeet / Talotekniikkapalkit</t>
  </si>
  <si>
    <t>Elpotek kytkentä</t>
  </si>
  <si>
    <t>Mom.1. Pyöreät kanavat ja osat  / Elpotek kytkentä</t>
  </si>
  <si>
    <t>PVM</t>
  </si>
  <si>
    <t xml:space="preserve">URAKAN JAKO-OSUUS = PERUSPALKKA X URAKKATUNNIT </t>
  </si>
  <si>
    <t>Ohjelma perustuu:</t>
  </si>
  <si>
    <t>Lvi-toimialan työehtosopimukseen</t>
  </si>
  <si>
    <t>Vapaan työskentelytilan korkeus</t>
  </si>
  <si>
    <t>1. Sälepelti, väliosa, kostutin</t>
  </si>
  <si>
    <t>Mom.1. Pyöreät kanavat ja osat 3 / Eristetty kanava ÄE, LE, PE 50 - mm</t>
  </si>
  <si>
    <t>Mom.3. Venttiilit / 3. Palopelti E-luokka(tavallinen),  pyöreät ilmamääräsäätimet</t>
  </si>
  <si>
    <t>Mom.3. / Venttiilit / 4. Palopelt, EI-luokka (keraaminen)</t>
  </si>
  <si>
    <t xml:space="preserve">  3.  Palopelti E-luokka(tavallinen), ja pyöreät ilmamääräsäätimet</t>
  </si>
  <si>
    <t xml:space="preserve">  4.  Palopelti EI-luokka(keraaminen)</t>
  </si>
  <si>
    <t xml:space="preserve">    ULKOSÄLEIKÖT  *</t>
  </si>
  <si>
    <t xml:space="preserve">  1.  Tulo ja poistosäleiköt Esim. TRYa, colibri, SVQ</t>
  </si>
  <si>
    <t xml:space="preserve">  2.  Piennopeusjakolaite Esim. FMH</t>
  </si>
  <si>
    <t xml:space="preserve">  5.  Tulo ja poistoventtiilit Esim. URH, EXCa, ULA, KSO, KTS, KVBa, SET, RCL</t>
  </si>
  <si>
    <t xml:space="preserve">  6.  Paineenalennus ja tasauslaatiko tEsim. TRI, DTTZ, ATTB, ALSa, VDYc</t>
  </si>
  <si>
    <t>0 - 0,99</t>
  </si>
  <si>
    <t>1,00 - 1,99</t>
  </si>
  <si>
    <t>2,00 - 3,49</t>
  </si>
  <si>
    <t>3,50 - 4,99</t>
  </si>
  <si>
    <t xml:space="preserve">5,00 - 6,99 </t>
  </si>
  <si>
    <t>Niko Räsänen</t>
  </si>
  <si>
    <t>Lisätiedot Rakennusliitto</t>
  </si>
  <si>
    <t>0405087731/ niko.rasanen@rakennusliitto.fi</t>
  </si>
  <si>
    <t>Perus-tuntipalkka</t>
  </si>
  <si>
    <t xml:space="preserve">   6. Ulospuhallinhajoittaja, Esim Eyma</t>
  </si>
  <si>
    <t xml:space="preserve">   2. Eristetty kanava ÄE, LE, PE - 50 mm</t>
  </si>
  <si>
    <t xml:space="preserve">   3. Eristetty kanava  ÄE, LE, PE 50 - mm</t>
  </si>
  <si>
    <t xml:space="preserve">        ulkoliitin kanavasta alle 1m, SP; YHDEPL </t>
  </si>
  <si>
    <t xml:space="preserve">   9. Eristetty haara, saapasoasa</t>
  </si>
  <si>
    <t xml:space="preserve">    10. Suutinkanava</t>
  </si>
  <si>
    <t>Halkai-sija</t>
  </si>
  <si>
    <t>Mom.1. Pyöreät kanavat ja osat 10 /Suutinkanavat</t>
  </si>
  <si>
    <t xml:space="preserve">  7.  Tulo- ja poistoilmavirtasäädin, esim. Halton HHW</t>
  </si>
  <si>
    <t>Mom.3. / Venttiilit / 7. Tulo- ja poistoilmavirtasäädin, esim. Halton HHW</t>
  </si>
  <si>
    <t>TULO- TAI POISTOILMAKOJE, SISÄLTÄÄ 3 OSAA</t>
  </si>
  <si>
    <t>TULO- JA POISTOILMAKOJEPAKETTI, SISÄLTÄÄ 6 OSAA</t>
  </si>
  <si>
    <t>Pientalo LTO kone seinämalli, alle 40 kg</t>
  </si>
  <si>
    <t>ILMANVAIHTOLAITTEET OMAKOTITALOIHIN,</t>
  </si>
  <si>
    <r>
      <rPr>
        <b/>
        <sz val="10"/>
        <rFont val="Arial"/>
        <family val="2"/>
      </rPr>
      <t>TOIMITILOIHIN YMS</t>
    </r>
    <r>
      <rPr>
        <sz val="10"/>
        <rFont val="Arial"/>
      </rPr>
      <t>.</t>
    </r>
  </si>
  <si>
    <t>Imuri NH</t>
  </si>
  <si>
    <t>LV-piippu NH</t>
  </si>
  <si>
    <t>Urakanjako-osuus</t>
  </si>
  <si>
    <t xml:space="preserve">Palkkaryhmä S </t>
  </si>
  <si>
    <t>Takuupalkka palkkaryhmä 3 x Urakkatunnit</t>
  </si>
  <si>
    <t>Takuupalkka palkkaryhmä S x Urakkatunnit</t>
  </si>
  <si>
    <t>Takuupalkka palkkaryhmä 1 x Urakkatunnit</t>
  </si>
  <si>
    <t>PALKKARYHMÄ 1 KUULUVAT KIRJATAAN SINISEEN OSIOON</t>
  </si>
  <si>
    <t>PALKKARYHMÄ S KUULUVAT KIRJATAAN KELTAISEEN OSIOON</t>
  </si>
  <si>
    <t>PALKKARYMÄSSÄ 1 OLEVIEN PERUSTUNTIPALKAKSI KIRJATAAN 50% PALKKARYHMÄ 3 PALKASTA</t>
  </si>
  <si>
    <t xml:space="preserve">Pientalo LTO kone seinämalli -40kg                                 </t>
  </si>
  <si>
    <t>Tuulikaappikoje</t>
  </si>
  <si>
    <t xml:space="preserve">VSS iv-koje. </t>
  </si>
  <si>
    <t>Kanavapuhallin 100 - 160</t>
  </si>
  <si>
    <t>Kanavapuhallin 200 - 315</t>
  </si>
  <si>
    <t>Normitunti kertoimet</t>
  </si>
  <si>
    <t>urakka     tunnit</t>
  </si>
  <si>
    <t>urakka   tunnit</t>
  </si>
  <si>
    <t xml:space="preserve">PALKKARYHMÄ S KUULUVAT </t>
  </si>
  <si>
    <t xml:space="preserve">Kuilulisä </t>
  </si>
  <si>
    <t>5,0m</t>
  </si>
  <si>
    <t xml:space="preserve">8,0m </t>
  </si>
  <si>
    <t>1,8m</t>
  </si>
  <si>
    <t>0,90m</t>
  </si>
  <si>
    <t>Saneerauslisä %</t>
  </si>
  <si>
    <t>Passiivipaneelit</t>
  </si>
  <si>
    <t>Muut rakennukset</t>
  </si>
  <si>
    <t>Majoitus- ja hotellirakennukset</t>
  </si>
  <si>
    <t xml:space="preserve">    5.  Eristetty KY, TY, MY, LKP, TP, EP, </t>
  </si>
  <si>
    <t>Mom.5. Pienkojeet / Passiivipaneelit, majoitus- ja hotellirakennukset</t>
  </si>
  <si>
    <t>Mom.5. Pienkojeet / Passiivipaneelit, muut rakennukset</t>
  </si>
  <si>
    <t xml:space="preserve">Jäähdytys, talotekniikkapalkkien ja passiivipaneelien asennuksen normiaikoja korotetaan </t>
  </si>
  <si>
    <t>15% mikäli käytössä ei ole kanavanostinta tai muuta vastaavaa apulaitetta</t>
  </si>
  <si>
    <t xml:space="preserve">   4. Eristämätön MY, KY, TY, LKP, TULPPA, EP,</t>
  </si>
  <si>
    <t xml:space="preserve">KIERTOILMAKOJEET, JÄÄHDYTYSPALKIT </t>
  </si>
  <si>
    <t xml:space="preserve">Olosuhdelisät </t>
  </si>
  <si>
    <t>Kiertoilmakojeet, palkit ja paneelit</t>
  </si>
  <si>
    <t>Kiertoilmakojeet ja jäähdytyspalkit</t>
  </si>
  <si>
    <t>Talotekniikkapalkki sisältää jäähdytys/lämmitysjärjestelmän lisäksi muutakin tekniikka, kuten sähkötekniikka.</t>
  </si>
  <si>
    <t>Mom.5. Pienkojeet / Kiertoilmakojeet ja jäähdytyspalkit</t>
  </si>
  <si>
    <t>1. Yhteen virtauspiiriin kytkettävät</t>
  </si>
  <si>
    <t>2. Useampaan kuin yhteen virtauspiiriin kytkettävät</t>
  </si>
  <si>
    <t>Koko   kg</t>
  </si>
  <si>
    <t>-56</t>
  </si>
  <si>
    <t>Koko kg</t>
  </si>
  <si>
    <t>Vaativuuslisät</t>
  </si>
  <si>
    <t>Savunpoistokanavat</t>
  </si>
  <si>
    <t>Suorakaidekanava</t>
  </si>
  <si>
    <t>Pyöreäkanava</t>
  </si>
  <si>
    <t>Mom.1. Pyöreät kanavat ja osat 4 / Eristämätön, MY, KY, TY, LKP, TULPPA, ulkoliitin kanavasta itsetehty &lt;1M, SP, YHDEPL,</t>
  </si>
  <si>
    <t xml:space="preserve"> lämpölaajenemiskompensaattori, tarkastusluukku valmiiseen osaan</t>
  </si>
  <si>
    <t>Mom.2. Suorakaidekanavat / 1. Eristämätön kanava, KY, MY, LKT, TY, SY, pääte suuremman pään mukaan, (IMS) ja palopellit, lämpölaajenemiskompensaattori</t>
  </si>
  <si>
    <t xml:space="preserve">     3,24 - 4,01</t>
  </si>
  <si>
    <t xml:space="preserve">     2,56 - 3,25</t>
  </si>
  <si>
    <t>1,96 - 2,55</t>
  </si>
  <si>
    <t>0,10 - 0,15</t>
  </si>
  <si>
    <t xml:space="preserve">     1,96 - 2,55</t>
  </si>
  <si>
    <t>Mom.1. Pyöreät kanavat ja osat / Palo-osastoinnista johtuva lisäkannakointi</t>
  </si>
  <si>
    <t>PALO-OSASTOINNISTA JOHTUVA LISÄKANNAKOINTI</t>
  </si>
  <si>
    <t xml:space="preserve">Mom. 7  OSIEN TEKO </t>
  </si>
  <si>
    <t xml:space="preserve"> Vaativuus- ja olosuhdelisät </t>
  </si>
  <si>
    <t xml:space="preserve">Mom. 6 AKSIAALIPUHALTIMET </t>
  </si>
  <si>
    <t xml:space="preserve">Mom. 5 PIENKOJEET </t>
  </si>
  <si>
    <t xml:space="preserve">Mom.  4. ILMANVAIHTOKONEET </t>
  </si>
  <si>
    <t xml:space="preserve"> Mom 3 VENTTIILIT </t>
  </si>
  <si>
    <t xml:space="preserve">Mom. 2 Suorakaidekanavataulukko </t>
  </si>
  <si>
    <t xml:space="preserve">  Mom. 2   SUORAKAIDEKANAVAT </t>
  </si>
  <si>
    <t xml:space="preserve">PYÖREÄT KANAVAT JA OSAT </t>
  </si>
  <si>
    <t>NH/Kpl</t>
  </si>
  <si>
    <t>Mom.2. Suorakaidekanavat / Palo-osastoinnista johtuva lisäkannakointi</t>
  </si>
  <si>
    <t>TALOTEKNIIKKAPALKIT, PASSIIVIPANEELIT</t>
  </si>
  <si>
    <t xml:space="preserve">        JATKO</t>
  </si>
  <si>
    <t>Mom.1. Pyöreät kanavat ja osat 5 / Eristetty KY, TY, MY, LKP, LKT, TP, EP, JATKO</t>
  </si>
  <si>
    <t xml:space="preserve">Vuosien 2023 - 2025 Talotekniikka-alan </t>
  </si>
  <si>
    <t>Päivitetty 3.5.2023</t>
  </si>
  <si>
    <r>
      <t xml:space="preserve">PALKKARYHMÄ 1 KUULUVAT SINISESSÄ OSIOSSA                                                                                        </t>
    </r>
    <r>
      <rPr>
        <sz val="10"/>
        <rFont val="Arial"/>
        <family val="2"/>
      </rPr>
      <t>Palkkaryhmä 1 perustuntipalkaksi kirjataan 50% palkkaryhmä 3:sta joka on 1.5.2023 / 9,06 € sekä 15.5.2024 / 9,24 €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</si>
</sst>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€_-;\-* #,##0.00\ _€_-;_-* &quot;-&quot;??\ _€_-;_-@_-"/>
    <numFmt numFmtId="165" formatCode="#,##0.00\ &quot;mk&quot;;[Red]\-#,##0.00\ &quot;mk&quot;"/>
    <numFmt numFmtId="166" formatCode="_-* #,##0\ _m_k_-;\-* #,##0\ _m_k_-;_-* &quot;-&quot;\ _m_k_-;_-@_-"/>
    <numFmt numFmtId="167" formatCode="0.00;[Red]0.00"/>
    <numFmt numFmtId="168" formatCode="0.0;[Red]0.0"/>
    <numFmt numFmtId="169" formatCode="0;[Red]0"/>
    <numFmt numFmtId="170" formatCode="0.000"/>
    <numFmt numFmtId="171" formatCode="0.000;[Red]0.000"/>
    <numFmt numFmtId="172" formatCode="d\.m\."/>
    <numFmt numFmtId="173" formatCode="0.0"/>
    <numFmt numFmtId="174" formatCode="0.0\ %"/>
  </numFmts>
  <fonts count="40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9"/>
      <name val="Arial"/>
      <family val="2"/>
    </font>
    <font>
      <sz val="26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8.8000000000000007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b/>
      <sz val="9"/>
      <color indexed="81"/>
      <name val="Tahoma"/>
      <family val="2"/>
    </font>
    <font>
      <b/>
      <sz val="26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u/>
      <sz val="8"/>
      <color indexed="12"/>
      <name val="Arial"/>
      <family val="2"/>
    </font>
    <font>
      <i/>
      <sz val="11"/>
      <name val="Arial"/>
      <family val="2"/>
    </font>
    <font>
      <b/>
      <sz val="16"/>
      <name val="Arial"/>
      <family val="2"/>
    </font>
    <font>
      <sz val="8.8000000000000007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8.8000000000000007"/>
      <color indexed="12"/>
      <name val="Arial"/>
      <family val="2"/>
    </font>
    <font>
      <u/>
      <sz val="10"/>
      <color indexed="12"/>
      <name val="Arial"/>
      <family val="2"/>
    </font>
    <font>
      <sz val="22"/>
      <name val="Franklin Gothic Medium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u/>
      <sz val="8.8000000000000007"/>
      <color rgb="FF0000FF"/>
      <name val="Arial"/>
      <family val="2"/>
    </font>
    <font>
      <b/>
      <u/>
      <sz val="9"/>
      <color rgb="FF0033CC"/>
      <name val="Arial"/>
      <family val="2"/>
    </font>
    <font>
      <b/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3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04">
    <xf numFmtId="0" fontId="0" fillId="0" borderId="0" xfId="0"/>
    <xf numFmtId="0" fontId="3" fillId="2" borderId="1" xfId="0" applyFont="1" applyFill="1" applyBorder="1" applyAlignment="1">
      <alignment horizontal="center"/>
    </xf>
    <xf numFmtId="0" fontId="0" fillId="2" borderId="1" xfId="0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2" borderId="0" xfId="0" applyFill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67" fontId="3" fillId="2" borderId="0" xfId="0" applyNumberFormat="1" applyFont="1" applyFill="1" applyAlignment="1">
      <alignment horizontal="center"/>
    </xf>
    <xf numFmtId="0" fontId="0" fillId="2" borderId="4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/>
    <xf numFmtId="0" fontId="0" fillId="2" borderId="5" xfId="0" applyFill="1" applyBorder="1"/>
    <xf numFmtId="0" fontId="0" fillId="2" borderId="6" xfId="0" applyFill="1" applyBorder="1" applyAlignment="1">
      <alignment horizontal="center"/>
    </xf>
    <xf numFmtId="0" fontId="0" fillId="2" borderId="6" xfId="0" applyFill="1" applyBorder="1"/>
    <xf numFmtId="0" fontId="0" fillId="2" borderId="0" xfId="0" applyFill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right"/>
    </xf>
    <xf numFmtId="0" fontId="0" fillId="2" borderId="12" xfId="0" applyFill="1" applyBorder="1"/>
    <xf numFmtId="0" fontId="0" fillId="2" borderId="13" xfId="0" applyFill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3" fillId="2" borderId="7" xfId="0" applyFont="1" applyFill="1" applyBorder="1" applyAlignment="1">
      <alignment horizontal="center"/>
    </xf>
    <xf numFmtId="167" fontId="0" fillId="2" borderId="5" xfId="0" applyNumberForma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0" fontId="7" fillId="2" borderId="0" xfId="0" applyFont="1" applyFill="1"/>
    <xf numFmtId="14" fontId="0" fillId="2" borderId="0" xfId="0" applyNumberFormat="1" applyFill="1"/>
    <xf numFmtId="0" fontId="0" fillId="2" borderId="2" xfId="0" applyFill="1" applyBorder="1"/>
    <xf numFmtId="0" fontId="0" fillId="2" borderId="17" xfId="0" applyFill="1" applyBorder="1"/>
    <xf numFmtId="167" fontId="0" fillId="2" borderId="6" xfId="0" applyNumberFormat="1" applyFill="1" applyBorder="1" applyAlignment="1">
      <alignment horizontal="center"/>
    </xf>
    <xf numFmtId="0" fontId="0" fillId="2" borderId="18" xfId="0" applyFill="1" applyBorder="1"/>
    <xf numFmtId="0" fontId="0" fillId="2" borderId="19" xfId="0" applyFill="1" applyBorder="1"/>
    <xf numFmtId="167" fontId="0" fillId="2" borderId="1" xfId="0" applyNumberFormat="1" applyFill="1" applyBorder="1" applyAlignment="1">
      <alignment horizontal="center"/>
    </xf>
    <xf numFmtId="167" fontId="0" fillId="2" borderId="17" xfId="0" applyNumberFormat="1" applyFill="1" applyBorder="1" applyAlignment="1">
      <alignment horizontal="center"/>
    </xf>
    <xf numFmtId="167" fontId="0" fillId="2" borderId="4" xfId="0" applyNumberForma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167" fontId="0" fillId="2" borderId="0" xfId="0" applyNumberFormat="1" applyFill="1" applyAlignment="1">
      <alignment horizontal="center"/>
    </xf>
    <xf numFmtId="167" fontId="0" fillId="2" borderId="3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3" borderId="0" xfId="0" applyFill="1"/>
    <xf numFmtId="167" fontId="0" fillId="3" borderId="0" xfId="0" applyNumberFormat="1" applyFill="1" applyAlignment="1">
      <alignment horizontal="center"/>
    </xf>
    <xf numFmtId="167" fontId="0" fillId="3" borderId="7" xfId="0" applyNumberForma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9" fillId="2" borderId="0" xfId="0" applyFont="1" applyFill="1"/>
    <xf numFmtId="0" fontId="2" fillId="2" borderId="0" xfId="0" applyFont="1" applyFill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5" fillId="2" borderId="0" xfId="0" applyFont="1" applyFill="1"/>
    <xf numFmtId="0" fontId="0" fillId="2" borderId="0" xfId="0" applyFill="1" applyAlignment="1">
      <alignment horizontal="left"/>
    </xf>
    <xf numFmtId="0" fontId="0" fillId="2" borderId="20" xfId="0" applyFill="1" applyBorder="1" applyAlignment="1">
      <alignment horizontal="center"/>
    </xf>
    <xf numFmtId="0" fontId="0" fillId="0" borderId="4" xfId="0" applyBorder="1"/>
    <xf numFmtId="0" fontId="0" fillId="2" borderId="8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19" xfId="0" applyFill="1" applyBorder="1" applyAlignment="1">
      <alignment horizontal="center"/>
    </xf>
    <xf numFmtId="0" fontId="0" fillId="2" borderId="21" xfId="0" applyFill="1" applyBorder="1"/>
    <xf numFmtId="0" fontId="0" fillId="2" borderId="21" xfId="0" applyFill="1" applyBorder="1" applyAlignment="1">
      <alignment horizontal="center"/>
    </xf>
    <xf numFmtId="169" fontId="0" fillId="2" borderId="7" xfId="0" applyNumberFormat="1" applyFill="1" applyBorder="1" applyAlignment="1">
      <alignment horizontal="center"/>
    </xf>
    <xf numFmtId="167" fontId="0" fillId="2" borderId="21" xfId="0" applyNumberFormat="1" applyFill="1" applyBorder="1" applyAlignment="1">
      <alignment horizontal="center"/>
    </xf>
    <xf numFmtId="0" fontId="0" fillId="3" borderId="1" xfId="0" applyFill="1" applyBorder="1"/>
    <xf numFmtId="167" fontId="0" fillId="3" borderId="1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9" fontId="0" fillId="2" borderId="0" xfId="0" applyNumberFormat="1" applyFill="1" applyAlignment="1">
      <alignment horizontal="center"/>
    </xf>
    <xf numFmtId="166" fontId="0" fillId="2" borderId="0" xfId="4" applyFont="1" applyFill="1" applyBorder="1" applyAlignment="1">
      <alignment horizontal="right"/>
    </xf>
    <xf numFmtId="9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12" fillId="2" borderId="13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167" fontId="12" fillId="2" borderId="0" xfId="0" applyNumberFormat="1" applyFont="1" applyFill="1" applyAlignment="1">
      <alignment horizontal="center"/>
    </xf>
    <xf numFmtId="0" fontId="4" fillId="2" borderId="0" xfId="0" applyFont="1" applyFill="1"/>
    <xf numFmtId="0" fontId="3" fillId="2" borderId="7" xfId="0" applyFont="1" applyFill="1" applyBorder="1"/>
    <xf numFmtId="0" fontId="4" fillId="2" borderId="7" xfId="0" applyFont="1" applyFill="1" applyBorder="1" applyAlignment="1">
      <alignment horizontal="center"/>
    </xf>
    <xf numFmtId="2" fontId="0" fillId="2" borderId="0" xfId="0" applyNumberFormat="1" applyFill="1"/>
    <xf numFmtId="2" fontId="0" fillId="0" borderId="4" xfId="0" applyNumberFormat="1" applyBorder="1"/>
    <xf numFmtId="2" fontId="9" fillId="2" borderId="0" xfId="0" applyNumberFormat="1" applyFont="1" applyFill="1" applyAlignment="1">
      <alignment horizontal="center"/>
    </xf>
    <xf numFmtId="167" fontId="13" fillId="2" borderId="0" xfId="0" applyNumberFormat="1" applyFont="1" applyFill="1" applyAlignment="1">
      <alignment horizontal="center"/>
    </xf>
    <xf numFmtId="2" fontId="5" fillId="2" borderId="0" xfId="0" applyNumberFormat="1" applyFont="1" applyFill="1"/>
    <xf numFmtId="0" fontId="5" fillId="2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2" fontId="5" fillId="2" borderId="0" xfId="0" applyNumberFormat="1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171" fontId="7" fillId="2" borderId="0" xfId="0" applyNumberFormat="1" applyFont="1" applyFill="1" applyAlignment="1">
      <alignment horizontal="center"/>
    </xf>
    <xf numFmtId="167" fontId="7" fillId="2" borderId="0" xfId="0" applyNumberFormat="1" applyFont="1" applyFill="1" applyAlignment="1">
      <alignment horizontal="left"/>
    </xf>
    <xf numFmtId="0" fontId="12" fillId="2" borderId="7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0" xfId="0" applyFont="1" applyFill="1" applyAlignment="1">
      <alignment horizontal="right"/>
    </xf>
    <xf numFmtId="2" fontId="3" fillId="9" borderId="6" xfId="0" applyNumberFormat="1" applyFont="1" applyFill="1" applyBorder="1" applyAlignment="1">
      <alignment horizontal="center"/>
    </xf>
    <xf numFmtId="2" fontId="0" fillId="0" borderId="0" xfId="0" applyNumberFormat="1"/>
    <xf numFmtId="0" fontId="0" fillId="0" borderId="6" xfId="0" applyBorder="1"/>
    <xf numFmtId="172" fontId="0" fillId="4" borderId="6" xfId="0" applyNumberFormat="1" applyFill="1" applyBorder="1" applyProtection="1">
      <protection locked="0"/>
    </xf>
    <xf numFmtId="0" fontId="2" fillId="0" borderId="6" xfId="0" applyFont="1" applyBorder="1"/>
    <xf numFmtId="0" fontId="0" fillId="0" borderId="6" xfId="0" applyBorder="1" applyAlignment="1">
      <alignment horizontal="center"/>
    </xf>
    <xf numFmtId="1" fontId="0" fillId="9" borderId="6" xfId="0" applyNumberFormat="1" applyFill="1" applyBorder="1" applyProtection="1">
      <protection locked="0"/>
    </xf>
    <xf numFmtId="172" fontId="0" fillId="9" borderId="6" xfId="0" applyNumberFormat="1" applyFill="1" applyBorder="1" applyProtection="1">
      <protection locked="0"/>
    </xf>
    <xf numFmtId="0" fontId="5" fillId="0" borderId="6" xfId="0" applyFont="1" applyBorder="1"/>
    <xf numFmtId="1" fontId="5" fillId="9" borderId="6" xfId="0" applyNumberFormat="1" applyFont="1" applyFill="1" applyBorder="1" applyProtection="1">
      <protection locked="0"/>
    </xf>
    <xf numFmtId="0" fontId="4" fillId="0" borderId="6" xfId="0" applyFont="1" applyBorder="1"/>
    <xf numFmtId="2" fontId="4" fillId="0" borderId="6" xfId="0" applyNumberFormat="1" applyFont="1" applyBorder="1"/>
    <xf numFmtId="0" fontId="0" fillId="9" borderId="0" xfId="0" applyFill="1"/>
    <xf numFmtId="0" fontId="0" fillId="9" borderId="15" xfId="0" applyFill="1" applyBorder="1"/>
    <xf numFmtId="0" fontId="0" fillId="9" borderId="16" xfId="0" applyFill="1" applyBorder="1"/>
    <xf numFmtId="0" fontId="0" fillId="9" borderId="22" xfId="0" applyFill="1" applyBorder="1"/>
    <xf numFmtId="172" fontId="0" fillId="9" borderId="20" xfId="0" applyNumberFormat="1" applyFill="1" applyBorder="1" applyProtection="1">
      <protection locked="0"/>
    </xf>
    <xf numFmtId="1" fontId="0" fillId="9" borderId="11" xfId="0" applyNumberFormat="1" applyFill="1" applyBorder="1" applyProtection="1">
      <protection locked="0"/>
    </xf>
    <xf numFmtId="1" fontId="0" fillId="9" borderId="4" xfId="0" applyNumberFormat="1" applyFill="1" applyBorder="1" applyProtection="1">
      <protection locked="0"/>
    </xf>
    <xf numFmtId="2" fontId="4" fillId="0" borderId="20" xfId="0" applyNumberFormat="1" applyFont="1" applyBorder="1"/>
    <xf numFmtId="2" fontId="4" fillId="0" borderId="17" xfId="0" applyNumberFormat="1" applyFont="1" applyBorder="1"/>
    <xf numFmtId="0" fontId="3" fillId="0" borderId="6" xfId="0" applyFont="1" applyBorder="1"/>
    <xf numFmtId="172" fontId="3" fillId="4" borderId="6" xfId="0" applyNumberFormat="1" applyFont="1" applyFill="1" applyBorder="1" applyProtection="1">
      <protection locked="0"/>
    </xf>
    <xf numFmtId="0" fontId="3" fillId="0" borderId="6" xfId="0" applyFont="1" applyBorder="1" applyAlignment="1">
      <alignment horizontal="center"/>
    </xf>
    <xf numFmtId="173" fontId="3" fillId="0" borderId="6" xfId="0" applyNumberFormat="1" applyFont="1" applyBorder="1"/>
    <xf numFmtId="1" fontId="0" fillId="0" borderId="6" xfId="0" applyNumberFormat="1" applyBorder="1" applyAlignment="1">
      <alignment horizontal="center"/>
    </xf>
    <xf numFmtId="0" fontId="9" fillId="2" borderId="0" xfId="0" applyFont="1" applyFill="1" applyAlignment="1">
      <alignment horizontal="center"/>
    </xf>
    <xf numFmtId="1" fontId="3" fillId="9" borderId="0" xfId="0" applyNumberFormat="1" applyFont="1" applyFill="1" applyProtection="1">
      <protection locked="0"/>
    </xf>
    <xf numFmtId="172" fontId="3" fillId="9" borderId="1" xfId="0" applyNumberFormat="1" applyFont="1" applyFill="1" applyBorder="1" applyProtection="1">
      <protection locked="0"/>
    </xf>
    <xf numFmtId="1" fontId="3" fillId="9" borderId="19" xfId="0" applyNumberFormat="1" applyFont="1" applyFill="1" applyBorder="1" applyProtection="1">
      <protection locked="0"/>
    </xf>
    <xf numFmtId="1" fontId="3" fillId="9" borderId="7" xfId="0" applyNumberFormat="1" applyFont="1" applyFill="1" applyBorder="1" applyProtection="1">
      <protection locked="0"/>
    </xf>
    <xf numFmtId="1" fontId="3" fillId="9" borderId="8" xfId="0" applyNumberFormat="1" applyFont="1" applyFill="1" applyBorder="1" applyProtection="1">
      <protection locked="0"/>
    </xf>
    <xf numFmtId="1" fontId="3" fillId="9" borderId="17" xfId="0" applyNumberFormat="1" applyFont="1" applyFill="1" applyBorder="1" applyProtection="1">
      <protection locked="0"/>
    </xf>
    <xf numFmtId="1" fontId="3" fillId="9" borderId="4" xfId="0" applyNumberFormat="1" applyFont="1" applyFill="1" applyBorder="1" applyProtection="1">
      <protection locked="0"/>
    </xf>
    <xf numFmtId="172" fontId="3" fillId="9" borderId="4" xfId="0" applyNumberFormat="1" applyFont="1" applyFill="1" applyBorder="1" applyProtection="1">
      <protection locked="0"/>
    </xf>
    <xf numFmtId="173" fontId="3" fillId="9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1" fontId="3" fillId="9" borderId="0" xfId="0" applyNumberFormat="1" applyFont="1" applyFill="1" applyAlignment="1" applyProtection="1">
      <alignment horizontal="center"/>
      <protection locked="0"/>
    </xf>
    <xf numFmtId="0" fontId="13" fillId="9" borderId="22" xfId="0" applyFont="1" applyFill="1" applyBorder="1"/>
    <xf numFmtId="0" fontId="3" fillId="9" borderId="22" xfId="0" applyFont="1" applyFill="1" applyBorder="1"/>
    <xf numFmtId="0" fontId="3" fillId="9" borderId="0" xfId="0" applyFont="1" applyFill="1"/>
    <xf numFmtId="0" fontId="7" fillId="9" borderId="0" xfId="0" applyFont="1" applyFill="1"/>
    <xf numFmtId="16" fontId="5" fillId="9" borderId="22" xfId="0" applyNumberFormat="1" applyFont="1" applyFill="1" applyBorder="1"/>
    <xf numFmtId="0" fontId="16" fillId="9" borderId="22" xfId="0" applyFont="1" applyFill="1" applyBorder="1"/>
    <xf numFmtId="0" fontId="5" fillId="9" borderId="22" xfId="0" applyFont="1" applyFill="1" applyBorder="1"/>
    <xf numFmtId="14" fontId="0" fillId="9" borderId="0" xfId="0" applyNumberFormat="1" applyFill="1"/>
    <xf numFmtId="0" fontId="3" fillId="9" borderId="0" xfId="0" applyFont="1" applyFill="1" applyAlignment="1">
      <alignment horizontal="right"/>
    </xf>
    <xf numFmtId="14" fontId="0" fillId="9" borderId="22" xfId="0" applyNumberFormat="1" applyFill="1" applyBorder="1"/>
    <xf numFmtId="0" fontId="7" fillId="9" borderId="22" xfId="0" applyFont="1" applyFill="1" applyBorder="1"/>
    <xf numFmtId="0" fontId="3" fillId="9" borderId="22" xfId="0" applyFont="1" applyFill="1" applyBorder="1" applyAlignment="1">
      <alignment horizontal="center"/>
    </xf>
    <xf numFmtId="0" fontId="12" fillId="9" borderId="22" xfId="0" applyFont="1" applyFill="1" applyBorder="1" applyAlignment="1">
      <alignment horizontal="center"/>
    </xf>
    <xf numFmtId="0" fontId="4" fillId="9" borderId="0" xfId="0" applyFont="1" applyFill="1"/>
    <xf numFmtId="0" fontId="5" fillId="2" borderId="7" xfId="0" applyFont="1" applyFill="1" applyBorder="1" applyAlignment="1">
      <alignment horizontal="center"/>
    </xf>
    <xf numFmtId="0" fontId="5" fillId="2" borderId="7" xfId="0" applyFont="1" applyFill="1" applyBorder="1"/>
    <xf numFmtId="0" fontId="13" fillId="2" borderId="7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2" fillId="9" borderId="20" xfId="0" applyFont="1" applyFill="1" applyBorder="1" applyAlignment="1">
      <alignment horizontal="center"/>
    </xf>
    <xf numFmtId="0" fontId="5" fillId="9" borderId="0" xfId="0" applyFont="1" applyFill="1"/>
    <xf numFmtId="49" fontId="9" fillId="2" borderId="0" xfId="0" applyNumberFormat="1" applyFont="1" applyFill="1" applyAlignment="1">
      <alignment horizontal="center"/>
    </xf>
    <xf numFmtId="1" fontId="9" fillId="2" borderId="0" xfId="0" applyNumberFormat="1" applyFont="1" applyFill="1"/>
    <xf numFmtId="49" fontId="9" fillId="2" borderId="0" xfId="0" applyNumberFormat="1" applyFont="1" applyFill="1"/>
    <xf numFmtId="173" fontId="9" fillId="2" borderId="0" xfId="0" applyNumberFormat="1" applyFont="1" applyFill="1"/>
    <xf numFmtId="173" fontId="5" fillId="9" borderId="0" xfId="0" applyNumberFormat="1" applyFont="1" applyFill="1"/>
    <xf numFmtId="173" fontId="13" fillId="2" borderId="0" xfId="0" applyNumberFormat="1" applyFont="1" applyFill="1" applyAlignment="1">
      <alignment horizontal="center"/>
    </xf>
    <xf numFmtId="173" fontId="0" fillId="2" borderId="0" xfId="0" applyNumberFormat="1" applyFill="1" applyAlignment="1">
      <alignment horizontal="center"/>
    </xf>
    <xf numFmtId="173" fontId="12" fillId="2" borderId="0" xfId="0" applyNumberFormat="1" applyFont="1" applyFill="1" applyAlignment="1">
      <alignment horizontal="center"/>
    </xf>
    <xf numFmtId="173" fontId="5" fillId="2" borderId="0" xfId="0" applyNumberFormat="1" applyFont="1" applyFill="1" applyAlignment="1">
      <alignment horizontal="center"/>
    </xf>
    <xf numFmtId="173" fontId="0" fillId="2" borderId="0" xfId="0" applyNumberFormat="1" applyFill="1"/>
    <xf numFmtId="173" fontId="12" fillId="2" borderId="0" xfId="0" applyNumberFormat="1" applyFont="1" applyFill="1"/>
    <xf numFmtId="173" fontId="4" fillId="2" borderId="6" xfId="0" applyNumberFormat="1" applyFont="1" applyFill="1" applyBorder="1"/>
    <xf numFmtId="173" fontId="4" fillId="2" borderId="17" xfId="0" applyNumberFormat="1" applyFont="1" applyFill="1" applyBorder="1"/>
    <xf numFmtId="173" fontId="0" fillId="2" borderId="6" xfId="0" applyNumberFormat="1" applyFill="1" applyBorder="1" applyAlignment="1">
      <alignment horizontal="center"/>
    </xf>
    <xf numFmtId="169" fontId="3" fillId="10" borderId="6" xfId="0" applyNumberFormat="1" applyFont="1" applyFill="1" applyBorder="1" applyAlignment="1">
      <alignment horizontal="center"/>
    </xf>
    <xf numFmtId="169" fontId="13" fillId="2" borderId="0" xfId="0" applyNumberFormat="1" applyFont="1" applyFill="1" applyAlignment="1">
      <alignment horizontal="center"/>
    </xf>
    <xf numFmtId="1" fontId="3" fillId="10" borderId="6" xfId="0" applyNumberFormat="1" applyFont="1" applyFill="1" applyBorder="1" applyAlignment="1">
      <alignment horizontal="center"/>
    </xf>
    <xf numFmtId="1" fontId="13" fillId="2" borderId="0" xfId="0" applyNumberFormat="1" applyFont="1" applyFill="1" applyAlignment="1">
      <alignment horizontal="center"/>
    </xf>
    <xf numFmtId="1" fontId="3" fillId="10" borderId="11" xfId="0" applyNumberFormat="1" applyFont="1" applyFill="1" applyBorder="1" applyAlignment="1">
      <alignment horizontal="center"/>
    </xf>
    <xf numFmtId="1" fontId="0" fillId="10" borderId="6" xfId="0" applyNumberFormat="1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173" fontId="7" fillId="2" borderId="0" xfId="0" applyNumberFormat="1" applyFont="1" applyFill="1"/>
    <xf numFmtId="173" fontId="5" fillId="9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" xfId="3" applyFill="1" applyBorder="1"/>
    <xf numFmtId="0" fontId="4" fillId="2" borderId="0" xfId="3" applyFill="1"/>
    <xf numFmtId="0" fontId="4" fillId="2" borderId="3" xfId="3" applyFill="1" applyBorder="1" applyAlignment="1">
      <alignment horizontal="center"/>
    </xf>
    <xf numFmtId="0" fontId="4" fillId="2" borderId="3" xfId="3" applyFill="1" applyBorder="1"/>
    <xf numFmtId="0" fontId="4" fillId="2" borderId="6" xfId="3" applyFill="1" applyBorder="1" applyAlignment="1">
      <alignment horizontal="center"/>
    </xf>
    <xf numFmtId="0" fontId="4" fillId="2" borderId="0" xfId="3" applyFill="1" applyAlignment="1">
      <alignment horizontal="center"/>
    </xf>
    <xf numFmtId="2" fontId="4" fillId="2" borderId="6" xfId="3" applyNumberFormat="1" applyFill="1" applyBorder="1" applyAlignment="1">
      <alignment horizontal="center"/>
    </xf>
    <xf numFmtId="0" fontId="4" fillId="2" borderId="1" xfId="3" applyFill="1" applyBorder="1" applyAlignment="1">
      <alignment horizontal="center"/>
    </xf>
    <xf numFmtId="0" fontId="4" fillId="2" borderId="0" xfId="3" applyFill="1" applyAlignment="1">
      <alignment horizontal="right"/>
    </xf>
    <xf numFmtId="2" fontId="4" fillId="2" borderId="0" xfId="3" applyNumberFormat="1" applyFill="1" applyAlignment="1">
      <alignment horizontal="center"/>
    </xf>
    <xf numFmtId="0" fontId="7" fillId="2" borderId="0" xfId="3" applyFont="1" applyFill="1"/>
    <xf numFmtId="14" fontId="4" fillId="2" borderId="0" xfId="3" applyNumberFormat="1" applyFill="1"/>
    <xf numFmtId="0" fontId="4" fillId="2" borderId="2" xfId="3" applyFill="1" applyBorder="1"/>
    <xf numFmtId="0" fontId="4" fillId="2" borderId="18" xfId="3" applyFill="1" applyBorder="1"/>
    <xf numFmtId="167" fontId="4" fillId="2" borderId="0" xfId="3" applyNumberFormat="1" applyFill="1" applyAlignment="1">
      <alignment horizontal="center"/>
    </xf>
    <xf numFmtId="0" fontId="4" fillId="2" borderId="2" xfId="3" applyFill="1" applyBorder="1" applyAlignment="1">
      <alignment horizontal="center"/>
    </xf>
    <xf numFmtId="0" fontId="5" fillId="2" borderId="0" xfId="3" applyFont="1" applyFill="1"/>
    <xf numFmtId="0" fontId="5" fillId="2" borderId="0" xfId="3" applyFont="1" applyFill="1" applyAlignment="1">
      <alignment horizontal="center"/>
    </xf>
    <xf numFmtId="0" fontId="5" fillId="2" borderId="1" xfId="3" applyFont="1" applyFill="1" applyBorder="1" applyAlignment="1">
      <alignment horizontal="center"/>
    </xf>
    <xf numFmtId="173" fontId="5" fillId="2" borderId="0" xfId="3" applyNumberFormat="1" applyFont="1" applyFill="1" applyAlignment="1">
      <alignment horizontal="center"/>
    </xf>
    <xf numFmtId="2" fontId="13" fillId="2" borderId="0" xfId="3" applyNumberFormat="1" applyFont="1" applyFill="1" applyAlignment="1">
      <alignment horizontal="center"/>
    </xf>
    <xf numFmtId="2" fontId="14" fillId="2" borderId="0" xfId="3" applyNumberFormat="1" applyFont="1" applyFill="1" applyAlignment="1">
      <alignment horizontal="center"/>
    </xf>
    <xf numFmtId="2" fontId="4" fillId="9" borderId="6" xfId="3" applyNumberFormat="1" applyFill="1" applyBorder="1" applyAlignment="1">
      <alignment horizontal="center"/>
    </xf>
    <xf numFmtId="2" fontId="4" fillId="2" borderId="17" xfId="3" applyNumberFormat="1" applyFill="1" applyBorder="1" applyAlignment="1">
      <alignment horizontal="center"/>
    </xf>
    <xf numFmtId="2" fontId="4" fillId="2" borderId="6" xfId="1" applyNumberFormat="1" applyFont="1" applyFill="1" applyBorder="1" applyAlignment="1">
      <alignment horizontal="center"/>
    </xf>
    <xf numFmtId="0" fontId="3" fillId="2" borderId="6" xfId="0" applyFont="1" applyFill="1" applyBorder="1"/>
    <xf numFmtId="2" fontId="3" fillId="9" borderId="0" xfId="0" applyNumberFormat="1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167" fontId="0" fillId="9" borderId="0" xfId="0" applyNumberFormat="1" applyFill="1" applyAlignment="1">
      <alignment horizontal="center"/>
    </xf>
    <xf numFmtId="0" fontId="13" fillId="9" borderId="0" xfId="0" applyFont="1" applyFill="1"/>
    <xf numFmtId="0" fontId="3" fillId="9" borderId="6" xfId="0" applyFont="1" applyFill="1" applyBorder="1"/>
    <xf numFmtId="1" fontId="3" fillId="9" borderId="6" xfId="0" applyNumberFormat="1" applyFont="1" applyFill="1" applyBorder="1"/>
    <xf numFmtId="0" fontId="3" fillId="9" borderId="6" xfId="0" applyFont="1" applyFill="1" applyBorder="1" applyAlignment="1">
      <alignment horizontal="center"/>
    </xf>
    <xf numFmtId="167" fontId="0" fillId="9" borderId="22" xfId="0" applyNumberFormat="1" applyFill="1" applyBorder="1" applyAlignment="1">
      <alignment horizontal="center"/>
    </xf>
    <xf numFmtId="172" fontId="3" fillId="11" borderId="6" xfId="0" applyNumberFormat="1" applyFont="1" applyFill="1" applyBorder="1" applyProtection="1">
      <protection locked="0"/>
    </xf>
    <xf numFmtId="1" fontId="3" fillId="11" borderId="6" xfId="0" applyNumberFormat="1" applyFont="1" applyFill="1" applyBorder="1" applyProtection="1">
      <protection locked="0"/>
    </xf>
    <xf numFmtId="1" fontId="3" fillId="11" borderId="6" xfId="0" applyNumberFormat="1" applyFont="1" applyFill="1" applyBorder="1" applyAlignment="1" applyProtection="1">
      <alignment horizontal="center"/>
      <protection locked="0"/>
    </xf>
    <xf numFmtId="1" fontId="3" fillId="9" borderId="6" xfId="0" applyNumberFormat="1" applyFont="1" applyFill="1" applyBorder="1" applyAlignment="1">
      <alignment horizontal="center"/>
    </xf>
    <xf numFmtId="167" fontId="5" fillId="9" borderId="22" xfId="0" applyNumberFormat="1" applyFont="1" applyFill="1" applyBorder="1" applyAlignment="1">
      <alignment horizontal="center"/>
    </xf>
    <xf numFmtId="1" fontId="3" fillId="9" borderId="0" xfId="0" applyNumberFormat="1" applyFont="1" applyFill="1" applyAlignment="1">
      <alignment horizontal="center"/>
    </xf>
    <xf numFmtId="0" fontId="3" fillId="9" borderId="2" xfId="0" applyFont="1" applyFill="1" applyBorder="1"/>
    <xf numFmtId="173" fontId="3" fillId="9" borderId="6" xfId="0" applyNumberFormat="1" applyFont="1" applyFill="1" applyBorder="1" applyAlignment="1">
      <alignment horizontal="center"/>
    </xf>
    <xf numFmtId="172" fontId="3" fillId="11" borderId="4" xfId="0" applyNumberFormat="1" applyFont="1" applyFill="1" applyBorder="1" applyProtection="1">
      <protection locked="0"/>
    </xf>
    <xf numFmtId="0" fontId="0" fillId="9" borderId="12" xfId="0" applyFill="1" applyBorder="1"/>
    <xf numFmtId="0" fontId="10" fillId="9" borderId="13" xfId="0" applyFont="1" applyFill="1" applyBorder="1"/>
    <xf numFmtId="0" fontId="0" fillId="9" borderId="13" xfId="0" applyFill="1" applyBorder="1"/>
    <xf numFmtId="0" fontId="4" fillId="9" borderId="13" xfId="0" applyFont="1" applyFill="1" applyBorder="1"/>
    <xf numFmtId="0" fontId="0" fillId="9" borderId="14" xfId="0" applyFill="1" applyBorder="1"/>
    <xf numFmtId="0" fontId="6" fillId="9" borderId="15" xfId="0" applyFont="1" applyFill="1" applyBorder="1"/>
    <xf numFmtId="0" fontId="6" fillId="9" borderId="0" xfId="0" applyFont="1" applyFill="1"/>
    <xf numFmtId="0" fontId="0" fillId="9" borderId="16" xfId="0" applyFill="1" applyBorder="1" applyProtection="1">
      <protection locked="0"/>
    </xf>
    <xf numFmtId="0" fontId="0" fillId="9" borderId="23" xfId="0" applyFill="1" applyBorder="1"/>
    <xf numFmtId="0" fontId="0" fillId="9" borderId="24" xfId="0" applyFill="1" applyBorder="1"/>
    <xf numFmtId="0" fontId="25" fillId="9" borderId="0" xfId="0" applyFont="1" applyFill="1"/>
    <xf numFmtId="0" fontId="25" fillId="9" borderId="8" xfId="0" applyFont="1" applyFill="1" applyBorder="1"/>
    <xf numFmtId="0" fontId="26" fillId="9" borderId="0" xfId="2" applyFont="1" applyFill="1" applyAlignment="1" applyProtection="1"/>
    <xf numFmtId="0" fontId="4" fillId="9" borderId="0" xfId="0" applyFont="1" applyFill="1" applyAlignment="1">
      <alignment horizontal="center"/>
    </xf>
    <xf numFmtId="0" fontId="0" fillId="9" borderId="25" xfId="0" applyFill="1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0" fillId="9" borderId="0" xfId="0" applyFill="1" applyAlignment="1">
      <alignment horizontal="right"/>
    </xf>
    <xf numFmtId="0" fontId="0" fillId="9" borderId="27" xfId="0" applyFill="1" applyBorder="1" applyAlignment="1">
      <alignment horizontal="center"/>
    </xf>
    <xf numFmtId="0" fontId="0" fillId="9" borderId="28" xfId="0" applyFill="1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3" fillId="9" borderId="13" xfId="0" applyFont="1" applyFill="1" applyBorder="1" applyAlignment="1">
      <alignment horizontal="right"/>
    </xf>
    <xf numFmtId="0" fontId="0" fillId="9" borderId="30" xfId="0" applyFill="1" applyBorder="1" applyAlignment="1">
      <alignment horizontal="center"/>
    </xf>
    <xf numFmtId="16" fontId="0" fillId="11" borderId="31" xfId="0" applyNumberFormat="1" applyFill="1" applyBorder="1" applyAlignment="1" applyProtection="1">
      <alignment vertical="top" wrapText="1"/>
      <protection locked="0"/>
    </xf>
    <xf numFmtId="16" fontId="0" fillId="11" borderId="32" xfId="0" applyNumberFormat="1" applyFill="1" applyBorder="1" applyProtection="1">
      <protection locked="0"/>
    </xf>
    <xf numFmtId="16" fontId="0" fillId="11" borderId="31" xfId="0" applyNumberFormat="1" applyFill="1" applyBorder="1" applyProtection="1">
      <protection locked="0"/>
    </xf>
    <xf numFmtId="2" fontId="0" fillId="11" borderId="11" xfId="0" applyNumberFormat="1" applyFill="1" applyBorder="1" applyAlignment="1" applyProtection="1">
      <alignment horizontal="center"/>
      <protection locked="0"/>
    </xf>
    <xf numFmtId="0" fontId="9" fillId="9" borderId="0" xfId="0" applyFont="1" applyFill="1"/>
    <xf numFmtId="2" fontId="9" fillId="9" borderId="0" xfId="0" applyNumberFormat="1" applyFont="1" applyFill="1"/>
    <xf numFmtId="0" fontId="9" fillId="9" borderId="6" xfId="0" applyFont="1" applyFill="1" applyBorder="1"/>
    <xf numFmtId="0" fontId="9" fillId="9" borderId="22" xfId="0" applyFont="1" applyFill="1" applyBorder="1"/>
    <xf numFmtId="0" fontId="9" fillId="9" borderId="22" xfId="0" applyFont="1" applyFill="1" applyBorder="1" applyAlignment="1">
      <alignment horizontal="center"/>
    </xf>
    <xf numFmtId="0" fontId="9" fillId="9" borderId="22" xfId="0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0" fontId="9" fillId="9" borderId="0" xfId="0" applyFont="1" applyFill="1" applyAlignment="1">
      <alignment horizontal="left"/>
    </xf>
    <xf numFmtId="2" fontId="4" fillId="9" borderId="0" xfId="0" applyNumberFormat="1" applyFont="1" applyFill="1"/>
    <xf numFmtId="2" fontId="9" fillId="10" borderId="27" xfId="0" applyNumberFormat="1" applyFont="1" applyFill="1" applyBorder="1"/>
    <xf numFmtId="0" fontId="9" fillId="10" borderId="33" xfId="0" applyFont="1" applyFill="1" applyBorder="1"/>
    <xf numFmtId="0" fontId="9" fillId="10" borderId="34" xfId="0" applyFont="1" applyFill="1" applyBorder="1"/>
    <xf numFmtId="0" fontId="25" fillId="9" borderId="0" xfId="0" applyFont="1" applyFill="1" applyAlignment="1">
      <alignment horizontal="left"/>
    </xf>
    <xf numFmtId="0" fontId="19" fillId="9" borderId="0" xfId="0" applyFont="1" applyFill="1"/>
    <xf numFmtId="2" fontId="25" fillId="9" borderId="6" xfId="0" applyNumberFormat="1" applyFont="1" applyFill="1" applyBorder="1"/>
    <xf numFmtId="0" fontId="0" fillId="9" borderId="6" xfId="0" applyFill="1" applyBorder="1"/>
    <xf numFmtId="0" fontId="25" fillId="9" borderId="0" xfId="0" applyFont="1" applyFill="1" applyAlignment="1">
      <alignment horizontal="right"/>
    </xf>
    <xf numFmtId="0" fontId="25" fillId="9" borderId="6" xfId="0" applyFont="1" applyFill="1" applyBorder="1" applyAlignment="1">
      <alignment horizontal="center"/>
    </xf>
    <xf numFmtId="0" fontId="25" fillId="9" borderId="6" xfId="0" applyFont="1" applyFill="1" applyBorder="1"/>
    <xf numFmtId="2" fontId="25" fillId="9" borderId="4" xfId="0" applyNumberFormat="1" applyFont="1" applyFill="1" applyBorder="1"/>
    <xf numFmtId="9" fontId="25" fillId="9" borderId="0" xfId="0" applyNumberFormat="1" applyFont="1" applyFill="1" applyAlignment="1">
      <alignment horizontal="left"/>
    </xf>
    <xf numFmtId="2" fontId="25" fillId="9" borderId="0" xfId="0" applyNumberFormat="1" applyFont="1" applyFill="1"/>
    <xf numFmtId="2" fontId="27" fillId="9" borderId="0" xfId="0" applyNumberFormat="1" applyFont="1" applyFill="1" applyAlignment="1">
      <alignment horizontal="right"/>
    </xf>
    <xf numFmtId="0" fontId="25" fillId="9" borderId="0" xfId="0" applyFont="1" applyFill="1" applyAlignment="1">
      <alignment horizontal="center"/>
    </xf>
    <xf numFmtId="2" fontId="25" fillId="9" borderId="11" xfId="0" applyNumberFormat="1" applyFont="1" applyFill="1" applyBorder="1"/>
    <xf numFmtId="165" fontId="25" fillId="9" borderId="0" xfId="0" applyNumberFormat="1" applyFont="1" applyFill="1"/>
    <xf numFmtId="174" fontId="25" fillId="9" borderId="6" xfId="0" applyNumberFormat="1" applyFont="1" applyFill="1" applyBorder="1" applyAlignment="1">
      <alignment horizontal="right"/>
    </xf>
    <xf numFmtId="2" fontId="25" fillId="9" borderId="3" xfId="0" applyNumberFormat="1" applyFont="1" applyFill="1" applyBorder="1"/>
    <xf numFmtId="16" fontId="25" fillId="9" borderId="0" xfId="0" applyNumberFormat="1" applyFont="1" applyFill="1" applyAlignment="1">
      <alignment horizontal="right"/>
    </xf>
    <xf numFmtId="2" fontId="25" fillId="9" borderId="27" xfId="0" applyNumberFormat="1" applyFont="1" applyFill="1" applyBorder="1"/>
    <xf numFmtId="2" fontId="25" fillId="9" borderId="6" xfId="0" applyNumberFormat="1" applyFont="1" applyFill="1" applyBorder="1" applyAlignment="1">
      <alignment horizontal="right"/>
    </xf>
    <xf numFmtId="173" fontId="25" fillId="9" borderId="6" xfId="0" applyNumberFormat="1" applyFont="1" applyFill="1" applyBorder="1"/>
    <xf numFmtId="2" fontId="25" fillId="9" borderId="19" xfId="0" applyNumberFormat="1" applyFont="1" applyFill="1" applyBorder="1"/>
    <xf numFmtId="0" fontId="15" fillId="9" borderId="0" xfId="0" applyFont="1" applyFill="1"/>
    <xf numFmtId="2" fontId="25" fillId="11" borderId="6" xfId="0" applyNumberFormat="1" applyFont="1" applyFill="1" applyBorder="1" applyAlignment="1" applyProtection="1">
      <alignment horizontal="right"/>
      <protection locked="0"/>
    </xf>
    <xf numFmtId="170" fontId="0" fillId="11" borderId="6" xfId="0" applyNumberFormat="1" applyFill="1" applyBorder="1" applyAlignment="1" applyProtection="1">
      <alignment horizontal="right"/>
      <protection locked="0"/>
    </xf>
    <xf numFmtId="173" fontId="0" fillId="11" borderId="6" xfId="0" applyNumberFormat="1" applyFill="1" applyBorder="1" applyAlignment="1" applyProtection="1">
      <alignment horizontal="right"/>
      <protection locked="0"/>
    </xf>
    <xf numFmtId="0" fontId="25" fillId="11" borderId="6" xfId="0" applyFont="1" applyFill="1" applyBorder="1" applyAlignment="1" applyProtection="1">
      <alignment horizontal="right"/>
      <protection locked="0"/>
    </xf>
    <xf numFmtId="2" fontId="19" fillId="10" borderId="27" xfId="0" applyNumberFormat="1" applyFont="1" applyFill="1" applyBorder="1"/>
    <xf numFmtId="2" fontId="19" fillId="10" borderId="30" xfId="0" applyNumberFormat="1" applyFont="1" applyFill="1" applyBorder="1"/>
    <xf numFmtId="0" fontId="0" fillId="12" borderId="0" xfId="0" applyFill="1"/>
    <xf numFmtId="0" fontId="0" fillId="12" borderId="0" xfId="0" applyFill="1" applyAlignment="1">
      <alignment horizontal="center"/>
    </xf>
    <xf numFmtId="0" fontId="12" fillId="12" borderId="0" xfId="0" applyFont="1" applyFill="1" applyAlignment="1">
      <alignment horizontal="center"/>
    </xf>
    <xf numFmtId="173" fontId="0" fillId="9" borderId="0" xfId="0" applyNumberFormat="1" applyFill="1"/>
    <xf numFmtId="0" fontId="30" fillId="9" borderId="0" xfId="0" applyFont="1" applyFill="1"/>
    <xf numFmtId="0" fontId="31" fillId="9" borderId="0" xfId="0" applyFont="1" applyFill="1"/>
    <xf numFmtId="168" fontId="3" fillId="10" borderId="6" xfId="0" applyNumberFormat="1" applyFont="1" applyFill="1" applyBorder="1" applyAlignment="1">
      <alignment horizontal="center"/>
    </xf>
    <xf numFmtId="173" fontId="3" fillId="10" borderId="6" xfId="0" applyNumberFormat="1" applyFont="1" applyFill="1" applyBorder="1" applyAlignment="1">
      <alignment horizontal="center"/>
    </xf>
    <xf numFmtId="1" fontId="4" fillId="10" borderId="6" xfId="3" applyNumberFormat="1" applyFill="1" applyBorder="1" applyAlignment="1">
      <alignment horizontal="center"/>
    </xf>
    <xf numFmtId="1" fontId="4" fillId="10" borderId="6" xfId="1" applyNumberFormat="1" applyFont="1" applyFill="1" applyBorder="1" applyAlignment="1">
      <alignment horizontal="center"/>
    </xf>
    <xf numFmtId="0" fontId="4" fillId="4" borderId="6" xfId="0" applyFont="1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4" borderId="6" xfId="0" applyFill="1" applyBorder="1" applyAlignment="1" applyProtection="1">
      <alignment horizontal="center"/>
      <protection locked="0"/>
    </xf>
    <xf numFmtId="0" fontId="0" fillId="11" borderId="6" xfId="0" applyFill="1" applyBorder="1" applyProtection="1">
      <protection locked="0"/>
    </xf>
    <xf numFmtId="0" fontId="0" fillId="9" borderId="6" xfId="0" applyFill="1" applyBorder="1" applyProtection="1">
      <protection locked="0"/>
    </xf>
    <xf numFmtId="0" fontId="0" fillId="9" borderId="6" xfId="0" applyFill="1" applyBorder="1" applyAlignment="1" applyProtection="1">
      <alignment horizontal="center"/>
      <protection locked="0"/>
    </xf>
    <xf numFmtId="0" fontId="4" fillId="4" borderId="4" xfId="0" applyFont="1" applyFill="1" applyBorder="1" applyProtection="1">
      <protection locked="0"/>
    </xf>
    <xf numFmtId="0" fontId="3" fillId="4" borderId="6" xfId="0" applyFont="1" applyFill="1" applyBorder="1" applyProtection="1">
      <protection locked="0"/>
    </xf>
    <xf numFmtId="0" fontId="3" fillId="4" borderId="6" xfId="0" applyFont="1" applyFill="1" applyBorder="1" applyAlignment="1" applyProtection="1">
      <alignment horizontal="center"/>
      <protection locked="0"/>
    </xf>
    <xf numFmtId="0" fontId="3" fillId="11" borderId="6" xfId="0" applyFont="1" applyFill="1" applyBorder="1" applyProtection="1">
      <protection locked="0"/>
    </xf>
    <xf numFmtId="0" fontId="3" fillId="11" borderId="6" xfId="0" applyFont="1" applyFill="1" applyBorder="1" applyAlignment="1" applyProtection="1">
      <alignment horizontal="center"/>
      <protection locked="0"/>
    </xf>
    <xf numFmtId="0" fontId="3" fillId="11" borderId="4" xfId="0" applyFont="1" applyFill="1" applyBorder="1" applyProtection="1">
      <protection locked="0"/>
    </xf>
    <xf numFmtId="49" fontId="9" fillId="9" borderId="7" xfId="0" applyNumberFormat="1" applyFont="1" applyFill="1" applyBorder="1" applyAlignment="1">
      <alignment horizontal="center"/>
    </xf>
    <xf numFmtId="1" fontId="3" fillId="10" borderId="6" xfId="3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173" fontId="3" fillId="9" borderId="10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32" fillId="9" borderId="0" xfId="2" applyFont="1" applyFill="1" applyBorder="1" applyAlignment="1" applyProtection="1"/>
    <xf numFmtId="0" fontId="32" fillId="9" borderId="0" xfId="2" applyFont="1" applyFill="1" applyAlignment="1" applyProtection="1"/>
    <xf numFmtId="0" fontId="33" fillId="9" borderId="0" xfId="2" applyFont="1" applyFill="1" applyAlignment="1" applyProtection="1"/>
    <xf numFmtId="0" fontId="17" fillId="9" borderId="0" xfId="2" applyFill="1" applyAlignment="1" applyProtection="1"/>
    <xf numFmtId="0" fontId="37" fillId="9" borderId="0" xfId="2" applyFont="1" applyFill="1" applyBorder="1" applyAlignment="1" applyProtection="1"/>
    <xf numFmtId="2" fontId="3" fillId="2" borderId="11" xfId="0" applyNumberFormat="1" applyFont="1" applyFill="1" applyBorder="1" applyAlignment="1">
      <alignment horizontal="center"/>
    </xf>
    <xf numFmtId="2" fontId="3" fillId="11" borderId="5" xfId="0" applyNumberFormat="1" applyFont="1" applyFill="1" applyBorder="1" applyAlignment="1" applyProtection="1">
      <alignment horizontal="center"/>
      <protection locked="0"/>
    </xf>
    <xf numFmtId="2" fontId="3" fillId="11" borderId="4" xfId="0" applyNumberFormat="1" applyFont="1" applyFill="1" applyBorder="1" applyAlignment="1" applyProtection="1">
      <alignment horizontal="center"/>
      <protection locked="0"/>
    </xf>
    <xf numFmtId="2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10" xfId="0" applyFont="1" applyFill="1" applyBorder="1" applyAlignment="1" applyProtection="1">
      <alignment horizontal="center"/>
      <protection locked="0"/>
    </xf>
    <xf numFmtId="2" fontId="3" fillId="11" borderId="10" xfId="0" applyNumberFormat="1" applyFont="1" applyFill="1" applyBorder="1" applyAlignment="1" applyProtection="1">
      <alignment horizontal="center"/>
      <protection locked="0"/>
    </xf>
    <xf numFmtId="0" fontId="3" fillId="11" borderId="11" xfId="0" applyFont="1" applyFill="1" applyBorder="1" applyAlignment="1" applyProtection="1">
      <alignment horizontal="center"/>
      <protection locked="0"/>
    </xf>
    <xf numFmtId="2" fontId="3" fillId="11" borderId="11" xfId="0" applyNumberFormat="1" applyFont="1" applyFill="1" applyBorder="1" applyAlignment="1" applyProtection="1">
      <alignment horizontal="center"/>
      <protection locked="0"/>
    </xf>
    <xf numFmtId="0" fontId="0" fillId="0" borderId="6" xfId="0" applyBorder="1" applyAlignment="1">
      <alignment horizontal="right"/>
    </xf>
    <xf numFmtId="49" fontId="4" fillId="9" borderId="7" xfId="0" applyNumberFormat="1" applyFont="1" applyFill="1" applyBorder="1" applyAlignment="1">
      <alignment horizontal="left"/>
    </xf>
    <xf numFmtId="0" fontId="4" fillId="9" borderId="7" xfId="0" applyFont="1" applyFill="1" applyBorder="1"/>
    <xf numFmtId="0" fontId="2" fillId="9" borderId="0" xfId="0" applyFont="1" applyFill="1" applyAlignment="1">
      <alignment horizontal="center" vertical="top" wrapText="1"/>
    </xf>
    <xf numFmtId="2" fontId="4" fillId="9" borderId="7" xfId="0" applyNumberFormat="1" applyFont="1" applyFill="1" applyBorder="1" applyAlignment="1">
      <alignment horizontal="center" vertical="top" wrapText="1"/>
    </xf>
    <xf numFmtId="0" fontId="4" fillId="9" borderId="20" xfId="0" applyFont="1" applyFill="1" applyBorder="1"/>
    <xf numFmtId="0" fontId="3" fillId="9" borderId="20" xfId="0" applyFont="1" applyFill="1" applyBorder="1"/>
    <xf numFmtId="0" fontId="3" fillId="9" borderId="20" xfId="0" applyFont="1" applyFill="1" applyBorder="1" applyAlignment="1">
      <alignment horizontal="left" wrapText="1"/>
    </xf>
    <xf numFmtId="0" fontId="3" fillId="9" borderId="18" xfId="0" applyFont="1" applyFill="1" applyBorder="1"/>
    <xf numFmtId="0" fontId="3" fillId="9" borderId="3" xfId="0" applyFont="1" applyFill="1" applyBorder="1"/>
    <xf numFmtId="0" fontId="4" fillId="9" borderId="11" xfId="0" applyFont="1" applyFill="1" applyBorder="1" applyAlignment="1">
      <alignment horizontal="center"/>
    </xf>
    <xf numFmtId="0" fontId="4" fillId="9" borderId="6" xfId="0" applyFont="1" applyFill="1" applyBorder="1"/>
    <xf numFmtId="0" fontId="3" fillId="9" borderId="11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left" wrapText="1"/>
    </xf>
    <xf numFmtId="0" fontId="3" fillId="9" borderId="10" xfId="0" applyFont="1" applyFill="1" applyBorder="1"/>
    <xf numFmtId="0" fontId="3" fillId="9" borderId="11" xfId="0" applyFont="1" applyFill="1" applyBorder="1" applyAlignment="1">
      <alignment wrapText="1"/>
    </xf>
    <xf numFmtId="0" fontId="3" fillId="9" borderId="11" xfId="0" applyFont="1" applyFill="1" applyBorder="1"/>
    <xf numFmtId="0" fontId="4" fillId="9" borderId="6" xfId="2" applyNumberFormat="1" applyFont="1" applyFill="1" applyBorder="1" applyAlignment="1" applyProtection="1">
      <alignment horizontal="center"/>
    </xf>
    <xf numFmtId="0" fontId="4" fillId="9" borderId="6" xfId="0" applyFont="1" applyFill="1" applyBorder="1" applyAlignment="1">
      <alignment horizontal="center"/>
    </xf>
    <xf numFmtId="2" fontId="4" fillId="9" borderId="8" xfId="0" applyNumberFormat="1" applyFont="1" applyFill="1" applyBorder="1" applyAlignment="1">
      <alignment horizontal="center"/>
    </xf>
    <xf numFmtId="2" fontId="0" fillId="9" borderId="6" xfId="0" applyNumberFormat="1" applyFill="1" applyBorder="1" applyAlignment="1">
      <alignment horizontal="center"/>
    </xf>
    <xf numFmtId="2" fontId="4" fillId="9" borderId="6" xfId="0" applyNumberFormat="1" applyFont="1" applyFill="1" applyBorder="1" applyAlignment="1">
      <alignment horizontal="center"/>
    </xf>
    <xf numFmtId="2" fontId="4" fillId="9" borderId="17" xfId="0" applyNumberFormat="1" applyFont="1" applyFill="1" applyBorder="1"/>
    <xf numFmtId="2" fontId="5" fillId="9" borderId="4" xfId="0" applyNumberFormat="1" applyFont="1" applyFill="1" applyBorder="1"/>
    <xf numFmtId="0" fontId="4" fillId="9" borderId="4" xfId="0" applyFont="1" applyFill="1" applyBorder="1"/>
    <xf numFmtId="2" fontId="4" fillId="9" borderId="34" xfId="0" applyNumberFormat="1" applyFont="1" applyFill="1" applyBorder="1"/>
    <xf numFmtId="1" fontId="3" fillId="9" borderId="11" xfId="0" applyNumberFormat="1" applyFont="1" applyFill="1" applyBorder="1" applyAlignment="1" applyProtection="1">
      <alignment horizontal="center"/>
      <protection locked="0"/>
    </xf>
    <xf numFmtId="1" fontId="3" fillId="9" borderId="6" xfId="0" applyNumberFormat="1" applyFont="1" applyFill="1" applyBorder="1" applyAlignment="1" applyProtection="1">
      <alignment horizontal="center"/>
      <protection locked="0"/>
    </xf>
    <xf numFmtId="1" fontId="5" fillId="9" borderId="6" xfId="0" applyNumberFormat="1" applyFont="1" applyFill="1" applyBorder="1"/>
    <xf numFmtId="0" fontId="0" fillId="9" borderId="6" xfId="0" applyFill="1" applyBorder="1" applyAlignment="1">
      <alignment horizontal="center"/>
    </xf>
    <xf numFmtId="167" fontId="3" fillId="9" borderId="6" xfId="0" applyNumberFormat="1" applyFont="1" applyFill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2" fontId="3" fillId="2" borderId="6" xfId="1" applyNumberFormat="1" applyFont="1" applyFill="1" applyBorder="1" applyAlignment="1">
      <alignment horizontal="center"/>
    </xf>
    <xf numFmtId="2" fontId="3" fillId="2" borderId="6" xfId="3" applyNumberFormat="1" applyFont="1" applyFill="1" applyBorder="1" applyAlignment="1">
      <alignment horizontal="center"/>
    </xf>
    <xf numFmtId="2" fontId="3" fillId="2" borderId="5" xfId="0" applyNumberFormat="1" applyFont="1" applyFill="1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2" fontId="3" fillId="2" borderId="17" xfId="0" applyNumberFormat="1" applyFont="1" applyFill="1" applyBorder="1" applyAlignment="1">
      <alignment horizontal="center"/>
    </xf>
    <xf numFmtId="2" fontId="4" fillId="10" borderId="27" xfId="0" applyNumberFormat="1" applyFont="1" applyFill="1" applyBorder="1"/>
    <xf numFmtId="2" fontId="9" fillId="10" borderId="6" xfId="0" applyNumberFormat="1" applyFont="1" applyFill="1" applyBorder="1"/>
    <xf numFmtId="9" fontId="5" fillId="2" borderId="18" xfId="0" applyNumberFormat="1" applyFont="1" applyFill="1" applyBorder="1" applyAlignment="1">
      <alignment horizontal="center"/>
    </xf>
    <xf numFmtId="9" fontId="4" fillId="2" borderId="8" xfId="0" applyNumberFormat="1" applyFont="1" applyFill="1" applyBorder="1" applyAlignment="1">
      <alignment horizontal="center"/>
    </xf>
    <xf numFmtId="2" fontId="13" fillId="2" borderId="0" xfId="0" applyNumberFormat="1" applyFont="1" applyFill="1" applyAlignment="1">
      <alignment horizontal="center"/>
    </xf>
    <xf numFmtId="2" fontId="4" fillId="11" borderId="6" xfId="0" applyNumberFormat="1" applyFont="1" applyFill="1" applyBorder="1" applyAlignment="1" applyProtection="1">
      <alignment horizontal="center"/>
      <protection locked="0"/>
    </xf>
    <xf numFmtId="2" fontId="0" fillId="9" borderId="1" xfId="0" applyNumberFormat="1" applyFill="1" applyBorder="1" applyAlignment="1">
      <alignment horizontal="center"/>
    </xf>
    <xf numFmtId="2" fontId="0" fillId="9" borderId="0" xfId="0" applyNumberFormat="1" applyFill="1" applyAlignment="1">
      <alignment horizontal="center"/>
    </xf>
    <xf numFmtId="173" fontId="13" fillId="9" borderId="0" xfId="0" applyNumberFormat="1" applyFont="1" applyFill="1" applyAlignment="1">
      <alignment horizontal="center"/>
    </xf>
    <xf numFmtId="173" fontId="13" fillId="9" borderId="1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5" fillId="9" borderId="0" xfId="0" applyFont="1" applyFill="1" applyAlignment="1">
      <alignment horizontal="right"/>
    </xf>
    <xf numFmtId="1" fontId="3" fillId="10" borderId="20" xfId="0" applyNumberFormat="1" applyFont="1" applyFill="1" applyBorder="1" applyAlignment="1">
      <alignment horizontal="center"/>
    </xf>
    <xf numFmtId="0" fontId="4" fillId="2" borderId="5" xfId="3" applyFill="1" applyBorder="1" applyAlignment="1">
      <alignment horizontal="center"/>
    </xf>
    <xf numFmtId="0" fontId="4" fillId="2" borderId="19" xfId="3" applyFill="1" applyBorder="1" applyAlignment="1">
      <alignment horizontal="center"/>
    </xf>
    <xf numFmtId="14" fontId="9" fillId="2" borderId="0" xfId="0" applyNumberFormat="1" applyFont="1" applyFill="1"/>
    <xf numFmtId="0" fontId="3" fillId="2" borderId="4" xfId="0" applyFont="1" applyFill="1" applyBorder="1" applyAlignment="1">
      <alignment horizontal="center"/>
    </xf>
    <xf numFmtId="167" fontId="3" fillId="2" borderId="5" xfId="0" applyNumberFormat="1" applyFont="1" applyFill="1" applyBorder="1" applyAlignment="1">
      <alignment horizontal="center"/>
    </xf>
    <xf numFmtId="0" fontId="0" fillId="0" borderId="1" xfId="0" applyBorder="1"/>
    <xf numFmtId="0" fontId="0" fillId="3" borderId="0" xfId="0" applyFill="1" applyAlignment="1">
      <alignment horizontal="center"/>
    </xf>
    <xf numFmtId="167" fontId="8" fillId="2" borderId="0" xfId="0" applyNumberFormat="1" applyFont="1" applyFill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19" xfId="3" applyFill="1" applyBorder="1"/>
    <xf numFmtId="0" fontId="0" fillId="2" borderId="17" xfId="0" applyFill="1" applyBorder="1" applyAlignment="1">
      <alignment horizontal="left"/>
    </xf>
    <xf numFmtId="0" fontId="38" fillId="9" borderId="0" xfId="0" applyFont="1" applyFill="1"/>
    <xf numFmtId="1" fontId="3" fillId="9" borderId="9" xfId="0" applyNumberFormat="1" applyFont="1" applyFill="1" applyBorder="1" applyAlignment="1" applyProtection="1">
      <alignment horizontal="center"/>
      <protection locked="0"/>
    </xf>
    <xf numFmtId="1" fontId="3" fillId="9" borderId="8" xfId="0" applyNumberFormat="1" applyFont="1" applyFill="1" applyBorder="1" applyAlignment="1" applyProtection="1">
      <alignment horizontal="center"/>
      <protection locked="0"/>
    </xf>
    <xf numFmtId="0" fontId="22" fillId="9" borderId="0" xfId="0" applyFont="1" applyFill="1"/>
    <xf numFmtId="2" fontId="7" fillId="9" borderId="0" xfId="0" applyNumberFormat="1" applyFont="1" applyFill="1"/>
    <xf numFmtId="0" fontId="2" fillId="9" borderId="1" xfId="0" applyFont="1" applyFill="1" applyBorder="1" applyAlignment="1">
      <alignment horizontal="center"/>
    </xf>
    <xf numFmtId="0" fontId="23" fillId="9" borderId="0" xfId="0" applyFont="1" applyFill="1"/>
    <xf numFmtId="0" fontId="0" fillId="9" borderId="19" xfId="0" applyFill="1" applyBorder="1"/>
    <xf numFmtId="0" fontId="5" fillId="2" borderId="17" xfId="0" applyFont="1" applyFill="1" applyBorder="1"/>
    <xf numFmtId="0" fontId="0" fillId="2" borderId="7" xfId="0" applyFill="1" applyBorder="1" applyAlignment="1">
      <alignment horizontal="left"/>
    </xf>
    <xf numFmtId="0" fontId="4" fillId="2" borderId="8" xfId="0" applyFont="1" applyFill="1" applyBorder="1"/>
    <xf numFmtId="0" fontId="4" fillId="2" borderId="9" xfId="0" applyFont="1" applyFill="1" applyBorder="1"/>
    <xf numFmtId="1" fontId="3" fillId="9" borderId="5" xfId="0" applyNumberFormat="1" applyFont="1" applyFill="1" applyBorder="1" applyProtection="1">
      <protection locked="0"/>
    </xf>
    <xf numFmtId="1" fontId="3" fillId="9" borderId="8" xfId="0" applyNumberFormat="1" applyFont="1" applyFill="1" applyBorder="1" applyAlignment="1">
      <alignment horizontal="left"/>
    </xf>
    <xf numFmtId="1" fontId="3" fillId="9" borderId="9" xfId="0" applyNumberFormat="1" applyFont="1" applyFill="1" applyBorder="1" applyAlignment="1">
      <alignment horizontal="left"/>
    </xf>
    <xf numFmtId="167" fontId="5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35" fillId="9" borderId="0" xfId="0" applyFont="1" applyFill="1"/>
    <xf numFmtId="49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20" xfId="5" applyNumberFormat="1" applyFont="1" applyFill="1" applyBorder="1" applyAlignment="1" applyProtection="1">
      <alignment horizontal="center"/>
      <protection locked="0"/>
    </xf>
    <xf numFmtId="0" fontId="3" fillId="11" borderId="6" xfId="5" applyNumberFormat="1" applyFont="1" applyFill="1" applyBorder="1" applyAlignment="1" applyProtection="1">
      <alignment horizontal="center"/>
      <protection locked="0"/>
    </xf>
    <xf numFmtId="0" fontId="3" fillId="11" borderId="10" xfId="5" applyNumberFormat="1" applyFont="1" applyFill="1" applyBorder="1" applyAlignment="1" applyProtection="1">
      <alignment horizontal="center"/>
      <protection locked="0"/>
    </xf>
    <xf numFmtId="0" fontId="3" fillId="11" borderId="11" xfId="5" applyNumberFormat="1" applyFont="1" applyFill="1" applyBorder="1" applyAlignment="1" applyProtection="1">
      <alignment horizontal="center"/>
      <protection locked="0"/>
    </xf>
    <xf numFmtId="0" fontId="7" fillId="2" borderId="0" xfId="0" applyFont="1" applyFill="1" applyAlignment="1">
      <alignment horizontal="left"/>
    </xf>
    <xf numFmtId="0" fontId="5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167" fontId="3" fillId="2" borderId="0" xfId="0" applyNumberFormat="1" applyFont="1" applyFill="1" applyAlignment="1">
      <alignment horizontal="left"/>
    </xf>
    <xf numFmtId="0" fontId="13" fillId="2" borderId="7" xfId="0" applyFont="1" applyFill="1" applyBorder="1"/>
    <xf numFmtId="167" fontId="3" fillId="2" borderId="7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13" fillId="2" borderId="9" xfId="0" applyFont="1" applyFill="1" applyBorder="1"/>
    <xf numFmtId="0" fontId="3" fillId="2" borderId="19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5" fillId="2" borderId="1" xfId="0" applyFont="1" applyFill="1" applyBorder="1"/>
    <xf numFmtId="169" fontId="13" fillId="2" borderId="1" xfId="0" applyNumberFormat="1" applyFont="1" applyFill="1" applyBorder="1" applyAlignment="1">
      <alignment horizontal="center"/>
    </xf>
    <xf numFmtId="167" fontId="13" fillId="2" borderId="3" xfId="0" applyNumberFormat="1" applyFont="1" applyFill="1" applyBorder="1" applyAlignment="1">
      <alignment horizontal="center"/>
    </xf>
    <xf numFmtId="169" fontId="5" fillId="2" borderId="2" xfId="0" applyNumberFormat="1" applyFont="1" applyFill="1" applyBorder="1" applyAlignment="1">
      <alignment horizontal="center"/>
    </xf>
    <xf numFmtId="167" fontId="5" fillId="2" borderId="3" xfId="0" applyNumberFormat="1" applyFont="1" applyFill="1" applyBorder="1" applyAlignment="1">
      <alignment horizontal="center"/>
    </xf>
    <xf numFmtId="167" fontId="0" fillId="2" borderId="9" xfId="0" applyNumberFormat="1" applyFill="1" applyBorder="1" applyAlignment="1">
      <alignment horizontal="center"/>
    </xf>
    <xf numFmtId="173" fontId="0" fillId="2" borderId="4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 vertical="center"/>
    </xf>
    <xf numFmtId="0" fontId="4" fillId="2" borderId="17" xfId="0" applyFont="1" applyFill="1" applyBorder="1"/>
    <xf numFmtId="1" fontId="0" fillId="2" borderId="8" xfId="0" applyNumberFormat="1" applyFill="1" applyBorder="1" applyAlignment="1">
      <alignment horizontal="center"/>
    </xf>
    <xf numFmtId="1" fontId="0" fillId="10" borderId="17" xfId="0" applyNumberFormat="1" applyFill="1" applyBorder="1" applyAlignment="1">
      <alignment horizontal="center"/>
    </xf>
    <xf numFmtId="167" fontId="4" fillId="2" borderId="0" xfId="0" applyNumberFormat="1" applyFont="1" applyFill="1" applyAlignment="1">
      <alignment horizontal="left"/>
    </xf>
    <xf numFmtId="2" fontId="4" fillId="9" borderId="36" xfId="0" applyNumberFormat="1" applyFont="1" applyFill="1" applyBorder="1"/>
    <xf numFmtId="2" fontId="4" fillId="9" borderId="36" xfId="0" applyNumberFormat="1" applyFont="1" applyFill="1" applyBorder="1" applyAlignment="1">
      <alignment horizontal="center"/>
    </xf>
    <xf numFmtId="2" fontId="0" fillId="9" borderId="36" xfId="0" applyNumberFormat="1" applyFill="1" applyBorder="1" applyAlignment="1">
      <alignment horizontal="center"/>
    </xf>
    <xf numFmtId="2" fontId="4" fillId="9" borderId="37" xfId="0" applyNumberFormat="1" applyFont="1" applyFill="1" applyBorder="1"/>
    <xf numFmtId="1" fontId="4" fillId="9" borderId="29" xfId="0" applyNumberFormat="1" applyFont="1" applyFill="1" applyBorder="1" applyAlignment="1">
      <alignment horizontal="center"/>
    </xf>
    <xf numFmtId="2" fontId="25" fillId="9" borderId="0" xfId="0" applyNumberFormat="1" applyFont="1" applyFill="1" applyAlignment="1" applyProtection="1">
      <alignment horizontal="right"/>
      <protection locked="0"/>
    </xf>
    <xf numFmtId="2" fontId="25" fillId="0" borderId="0" xfId="0" applyNumberFormat="1" applyFont="1" applyAlignment="1" applyProtection="1">
      <alignment horizontal="right"/>
      <protection locked="0"/>
    </xf>
    <xf numFmtId="0" fontId="25" fillId="9" borderId="5" xfId="0" applyFont="1" applyFill="1" applyBorder="1" applyAlignment="1">
      <alignment horizontal="right"/>
    </xf>
    <xf numFmtId="2" fontId="25" fillId="11" borderId="11" xfId="0" applyNumberFormat="1" applyFont="1" applyFill="1" applyBorder="1" applyAlignment="1" applyProtection="1">
      <alignment horizontal="right"/>
      <protection locked="0"/>
    </xf>
    <xf numFmtId="0" fontId="25" fillId="9" borderId="7" xfId="0" applyFont="1" applyFill="1" applyBorder="1"/>
    <xf numFmtId="0" fontId="25" fillId="9" borderId="7" xfId="0" applyFont="1" applyFill="1" applyBorder="1" applyAlignment="1">
      <alignment horizontal="right"/>
    </xf>
    <xf numFmtId="0" fontId="0" fillId="9" borderId="7" xfId="0" applyFill="1" applyBorder="1"/>
    <xf numFmtId="0" fontId="0" fillId="9" borderId="7" xfId="0" applyFill="1" applyBorder="1" applyAlignment="1">
      <alignment horizontal="right"/>
    </xf>
    <xf numFmtId="1" fontId="25" fillId="9" borderId="6" xfId="0" applyNumberFormat="1" applyFont="1" applyFill="1" applyBorder="1"/>
    <xf numFmtId="0" fontId="4" fillId="9" borderId="20" xfId="2" applyNumberFormat="1" applyFont="1" applyFill="1" applyBorder="1" applyAlignment="1" applyProtection="1">
      <alignment horizontal="center"/>
    </xf>
    <xf numFmtId="0" fontId="4" fillId="9" borderId="20" xfId="0" applyFont="1" applyFill="1" applyBorder="1" applyAlignment="1">
      <alignment horizontal="center"/>
    </xf>
    <xf numFmtId="2" fontId="4" fillId="9" borderId="2" xfId="0" applyNumberFormat="1" applyFont="1" applyFill="1" applyBorder="1" applyAlignment="1">
      <alignment horizontal="center"/>
    </xf>
    <xf numFmtId="2" fontId="0" fillId="9" borderId="20" xfId="0" applyNumberFormat="1" applyFill="1" applyBorder="1" applyAlignment="1">
      <alignment horizontal="center"/>
    </xf>
    <xf numFmtId="2" fontId="4" fillId="9" borderId="20" xfId="0" applyNumberFormat="1" applyFont="1" applyFill="1" applyBorder="1" applyAlignment="1">
      <alignment horizontal="center"/>
    </xf>
    <xf numFmtId="2" fontId="4" fillId="9" borderId="1" xfId="0" applyNumberFormat="1" applyFont="1" applyFill="1" applyBorder="1"/>
    <xf numFmtId="2" fontId="5" fillId="9" borderId="3" xfId="0" applyNumberFormat="1" applyFont="1" applyFill="1" applyBorder="1"/>
    <xf numFmtId="2" fontId="4" fillId="13" borderId="11" xfId="0" applyNumberFormat="1" applyFont="1" applyFill="1" applyBorder="1" applyAlignment="1" applyProtection="1">
      <alignment horizontal="center"/>
      <protection locked="0"/>
    </xf>
    <xf numFmtId="2" fontId="4" fillId="13" borderId="6" xfId="0" applyNumberFormat="1" applyFont="1" applyFill="1" applyBorder="1" applyAlignment="1" applyProtection="1">
      <alignment horizontal="center"/>
      <protection locked="0"/>
    </xf>
    <xf numFmtId="2" fontId="4" fillId="13" borderId="20" xfId="0" applyNumberFormat="1" applyFont="1" applyFill="1" applyBorder="1" applyAlignment="1" applyProtection="1">
      <alignment horizontal="center"/>
      <protection locked="0"/>
    </xf>
    <xf numFmtId="0" fontId="0" fillId="9" borderId="38" xfId="0" applyFill="1" applyBorder="1"/>
    <xf numFmtId="1" fontId="0" fillId="9" borderId="39" xfId="0" applyNumberFormat="1" applyFill="1" applyBorder="1" applyAlignment="1">
      <alignment horizontal="center"/>
    </xf>
    <xf numFmtId="2" fontId="4" fillId="9" borderId="9" xfId="0" applyNumberFormat="1" applyFont="1" applyFill="1" applyBorder="1" applyAlignment="1">
      <alignment horizontal="center"/>
    </xf>
    <xf numFmtId="2" fontId="0" fillId="9" borderId="11" xfId="0" applyNumberFormat="1" applyFill="1" applyBorder="1" applyAlignment="1">
      <alignment horizontal="center"/>
    </xf>
    <xf numFmtId="2" fontId="4" fillId="9" borderId="11" xfId="0" applyNumberFormat="1" applyFont="1" applyFill="1" applyBorder="1" applyAlignment="1">
      <alignment horizontal="center"/>
    </xf>
    <xf numFmtId="2" fontId="4" fillId="9" borderId="7" xfId="0" applyNumberFormat="1" applyFont="1" applyFill="1" applyBorder="1"/>
    <xf numFmtId="2" fontId="5" fillId="9" borderId="5" xfId="0" applyNumberFormat="1" applyFont="1" applyFill="1" applyBorder="1"/>
    <xf numFmtId="0" fontId="4" fillId="9" borderId="11" xfId="2" applyNumberFormat="1" applyFont="1" applyFill="1" applyBorder="1" applyAlignment="1" applyProtection="1">
      <alignment horizontal="center"/>
    </xf>
    <xf numFmtId="0" fontId="0" fillId="9" borderId="11" xfId="0" applyFill="1" applyBorder="1"/>
    <xf numFmtId="0" fontId="0" fillId="9" borderId="20" xfId="0" applyFill="1" applyBorder="1"/>
    <xf numFmtId="1" fontId="3" fillId="9" borderId="18" xfId="0" applyNumberFormat="1" applyFont="1" applyFill="1" applyBorder="1" applyAlignment="1">
      <alignment horizontal="left"/>
    </xf>
    <xf numFmtId="0" fontId="4" fillId="4" borderId="40" xfId="0" applyFont="1" applyFill="1" applyBorder="1" applyAlignment="1" applyProtection="1">
      <alignment horizontal="center"/>
      <protection locked="0"/>
    </xf>
    <xf numFmtId="1" fontId="4" fillId="4" borderId="41" xfId="0" applyNumberFormat="1" applyFont="1" applyFill="1" applyBorder="1" applyAlignment="1" applyProtection="1">
      <alignment horizontal="center"/>
      <protection locked="0"/>
    </xf>
    <xf numFmtId="2" fontId="4" fillId="4" borderId="42" xfId="0" applyNumberFormat="1" applyFont="1" applyFill="1" applyBorder="1" applyAlignment="1" applyProtection="1">
      <alignment horizontal="center"/>
      <protection locked="0"/>
    </xf>
    <xf numFmtId="1" fontId="4" fillId="4" borderId="43" xfId="0" applyNumberFormat="1" applyFont="1" applyFill="1" applyBorder="1" applyAlignment="1" applyProtection="1">
      <alignment horizontal="center"/>
      <protection locked="0"/>
    </xf>
    <xf numFmtId="2" fontId="4" fillId="4" borderId="44" xfId="0" applyNumberFormat="1" applyFont="1" applyFill="1" applyBorder="1" applyAlignment="1" applyProtection="1">
      <alignment horizontal="center"/>
      <protection locked="0"/>
    </xf>
    <xf numFmtId="0" fontId="4" fillId="0" borderId="45" xfId="0" applyFont="1" applyBorder="1" applyAlignment="1">
      <alignment horizontal="center"/>
    </xf>
    <xf numFmtId="2" fontId="4" fillId="0" borderId="25" xfId="0" applyNumberFormat="1" applyFont="1" applyBorder="1" applyAlignment="1">
      <alignment horizontal="center"/>
    </xf>
    <xf numFmtId="0" fontId="4" fillId="0" borderId="0" xfId="0" applyFont="1"/>
    <xf numFmtId="0" fontId="4" fillId="4" borderId="46" xfId="0" applyFont="1" applyFill="1" applyBorder="1" applyAlignment="1" applyProtection="1">
      <alignment horizontal="center"/>
      <protection locked="0"/>
    </xf>
    <xf numFmtId="1" fontId="4" fillId="4" borderId="47" xfId="0" applyNumberFormat="1" applyFont="1" applyFill="1" applyBorder="1" applyAlignment="1" applyProtection="1">
      <alignment horizontal="center"/>
      <protection locked="0"/>
    </xf>
    <xf numFmtId="2" fontId="4" fillId="4" borderId="26" xfId="0" applyNumberFormat="1" applyFont="1" applyFill="1" applyBorder="1" applyAlignment="1" applyProtection="1">
      <alignment horizontal="center"/>
      <protection locked="0"/>
    </xf>
    <xf numFmtId="1" fontId="4" fillId="4" borderId="4" xfId="0" applyNumberFormat="1" applyFont="1" applyFill="1" applyBorder="1" applyAlignment="1" applyProtection="1">
      <alignment horizontal="center"/>
      <protection locked="0"/>
    </xf>
    <xf numFmtId="2" fontId="4" fillId="4" borderId="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4" borderId="48" xfId="0" applyFont="1" applyFill="1" applyBorder="1" applyAlignment="1" applyProtection="1">
      <alignment horizontal="center"/>
      <protection locked="0"/>
    </xf>
    <xf numFmtId="1" fontId="4" fillId="4" borderId="29" xfId="0" applyNumberFormat="1" applyFont="1" applyFill="1" applyBorder="1" applyAlignment="1" applyProtection="1">
      <alignment horizontal="center"/>
      <protection locked="0"/>
    </xf>
    <xf numFmtId="2" fontId="4" fillId="4" borderId="37" xfId="0" applyNumberFormat="1" applyFont="1" applyFill="1" applyBorder="1" applyAlignment="1" applyProtection="1">
      <alignment horizontal="center"/>
      <protection locked="0"/>
    </xf>
    <xf numFmtId="1" fontId="4" fillId="4" borderId="28" xfId="0" applyNumberFormat="1" applyFont="1" applyFill="1" applyBorder="1" applyAlignment="1" applyProtection="1">
      <alignment horizontal="center"/>
      <protection locked="0"/>
    </xf>
    <xf numFmtId="2" fontId="4" fillId="4" borderId="49" xfId="0" applyNumberFormat="1" applyFont="1" applyFill="1" applyBorder="1" applyAlignment="1" applyProtection="1">
      <alignment horizontal="center"/>
      <protection locked="0"/>
    </xf>
    <xf numFmtId="0" fontId="4" fillId="0" borderId="3" xfId="0" applyFont="1" applyBorder="1" applyAlignment="1">
      <alignment horizontal="center"/>
    </xf>
    <xf numFmtId="2" fontId="4" fillId="0" borderId="39" xfId="0" applyNumberFormat="1" applyFont="1" applyBorder="1" applyAlignment="1">
      <alignment horizontal="center"/>
    </xf>
    <xf numFmtId="0" fontId="4" fillId="13" borderId="50" xfId="0" applyFont="1" applyFill="1" applyBorder="1" applyAlignment="1" applyProtection="1">
      <alignment horizontal="center"/>
      <protection locked="0"/>
    </xf>
    <xf numFmtId="1" fontId="4" fillId="13" borderId="51" xfId="0" applyNumberFormat="1" applyFont="1" applyFill="1" applyBorder="1" applyAlignment="1" applyProtection="1">
      <alignment horizontal="center"/>
      <protection locked="0"/>
    </xf>
    <xf numFmtId="2" fontId="4" fillId="13" borderId="52" xfId="0" applyNumberFormat="1" applyFont="1" applyFill="1" applyBorder="1" applyAlignment="1" applyProtection="1">
      <alignment horizontal="center"/>
      <protection locked="0"/>
    </xf>
    <xf numFmtId="2" fontId="4" fillId="13" borderId="9" xfId="0" applyNumberFormat="1" applyFont="1" applyFill="1" applyBorder="1" applyAlignment="1" applyProtection="1">
      <alignment horizontal="center"/>
      <protection locked="0"/>
    </xf>
    <xf numFmtId="0" fontId="4" fillId="9" borderId="51" xfId="0" applyFont="1" applyFill="1" applyBorder="1" applyAlignment="1">
      <alignment horizontal="center"/>
    </xf>
    <xf numFmtId="2" fontId="4" fillId="9" borderId="52" xfId="0" applyNumberFormat="1" applyFont="1" applyFill="1" applyBorder="1" applyAlignment="1">
      <alignment horizontal="center"/>
    </xf>
    <xf numFmtId="0" fontId="4" fillId="13" borderId="46" xfId="0" applyFont="1" applyFill="1" applyBorder="1" applyAlignment="1" applyProtection="1">
      <alignment horizontal="center"/>
      <protection locked="0"/>
    </xf>
    <xf numFmtId="1" fontId="4" fillId="13" borderId="47" xfId="0" applyNumberFormat="1" applyFont="1" applyFill="1" applyBorder="1" applyAlignment="1" applyProtection="1">
      <alignment horizontal="center"/>
      <protection locked="0"/>
    </xf>
    <xf numFmtId="2" fontId="4" fillId="13" borderId="26" xfId="0" applyNumberFormat="1" applyFont="1" applyFill="1" applyBorder="1" applyAlignment="1" applyProtection="1">
      <alignment horizontal="center"/>
      <protection locked="0"/>
    </xf>
    <xf numFmtId="2" fontId="4" fillId="13" borderId="8" xfId="0" applyNumberFormat="1" applyFont="1" applyFill="1" applyBorder="1" applyAlignment="1" applyProtection="1">
      <alignment horizontal="center"/>
      <protection locked="0"/>
    </xf>
    <xf numFmtId="0" fontId="4" fillId="9" borderId="47" xfId="0" applyFont="1" applyFill="1" applyBorder="1" applyAlignment="1">
      <alignment horizontal="center"/>
    </xf>
    <xf numFmtId="2" fontId="4" fillId="9" borderId="26" xfId="0" applyNumberFormat="1" applyFont="1" applyFill="1" applyBorder="1" applyAlignment="1">
      <alignment horizontal="center"/>
    </xf>
    <xf numFmtId="0" fontId="4" fillId="13" borderId="53" xfId="0" applyFont="1" applyFill="1" applyBorder="1" applyAlignment="1" applyProtection="1">
      <alignment horizontal="center"/>
      <protection locked="0"/>
    </xf>
    <xf numFmtId="1" fontId="4" fillId="13" borderId="54" xfId="0" applyNumberFormat="1" applyFont="1" applyFill="1" applyBorder="1" applyAlignment="1" applyProtection="1">
      <alignment horizontal="center"/>
      <protection locked="0"/>
    </xf>
    <xf numFmtId="2" fontId="4" fillId="13" borderId="39" xfId="0" applyNumberFormat="1" applyFont="1" applyFill="1" applyBorder="1" applyAlignment="1" applyProtection="1">
      <alignment horizontal="center"/>
      <protection locked="0"/>
    </xf>
    <xf numFmtId="2" fontId="4" fillId="13" borderId="2" xfId="0" applyNumberFormat="1" applyFont="1" applyFill="1" applyBorder="1" applyAlignment="1" applyProtection="1">
      <alignment horizontal="center"/>
      <protection locked="0"/>
    </xf>
    <xf numFmtId="0" fontId="4" fillId="9" borderId="54" xfId="0" applyFont="1" applyFill="1" applyBorder="1" applyAlignment="1">
      <alignment horizontal="center"/>
    </xf>
    <xf numFmtId="2" fontId="4" fillId="9" borderId="39" xfId="0" applyNumberFormat="1" applyFont="1" applyFill="1" applyBorder="1" applyAlignment="1">
      <alignment horizontal="center"/>
    </xf>
    <xf numFmtId="0" fontId="4" fillId="9" borderId="55" xfId="0" applyFont="1" applyFill="1" applyBorder="1" applyAlignment="1">
      <alignment horizontal="center"/>
    </xf>
    <xf numFmtId="2" fontId="4" fillId="9" borderId="56" xfId="0" applyNumberFormat="1" applyFont="1" applyFill="1" applyBorder="1" applyAlignment="1">
      <alignment horizontal="center"/>
    </xf>
    <xf numFmtId="0" fontId="4" fillId="9" borderId="0" xfId="0" applyFont="1" applyFill="1" applyAlignment="1">
      <alignment horizontal="right"/>
    </xf>
    <xf numFmtId="1" fontId="4" fillId="9" borderId="0" xfId="0" applyNumberFormat="1" applyFont="1" applyFill="1" applyAlignment="1">
      <alignment horizontal="center"/>
    </xf>
    <xf numFmtId="2" fontId="5" fillId="9" borderId="0" xfId="0" applyNumberFormat="1" applyFont="1" applyFill="1" applyAlignment="1">
      <alignment horizontal="center"/>
    </xf>
    <xf numFmtId="0" fontId="4" fillId="9" borderId="8" xfId="0" applyFont="1" applyFill="1" applyBorder="1"/>
    <xf numFmtId="0" fontId="4" fillId="9" borderId="17" xfId="0" applyFont="1" applyFill="1" applyBorder="1"/>
    <xf numFmtId="2" fontId="4" fillId="5" borderId="17" xfId="0" applyNumberFormat="1" applyFont="1" applyFill="1" applyBorder="1"/>
    <xf numFmtId="0" fontId="4" fillId="0" borderId="4" xfId="0" applyFont="1" applyBorder="1"/>
    <xf numFmtId="0" fontId="4" fillId="9" borderId="49" xfId="0" applyFont="1" applyFill="1" applyBorder="1"/>
    <xf numFmtId="0" fontId="4" fillId="9" borderId="22" xfId="0" applyFont="1" applyFill="1" applyBorder="1"/>
    <xf numFmtId="2" fontId="4" fillId="0" borderId="22" xfId="0" applyNumberFormat="1" applyFont="1" applyBorder="1"/>
    <xf numFmtId="0" fontId="4" fillId="0" borderId="28" xfId="0" applyFont="1" applyBorder="1"/>
    <xf numFmtId="0" fontId="4" fillId="6" borderId="27" xfId="0" applyFont="1" applyFill="1" applyBorder="1"/>
    <xf numFmtId="2" fontId="4" fillId="7" borderId="6" xfId="0" applyNumberFormat="1" applyFont="1" applyFill="1" applyBorder="1" applyProtection="1">
      <protection locked="0"/>
    </xf>
    <xf numFmtId="2" fontId="4" fillId="8" borderId="6" xfId="0" applyNumberFormat="1" applyFont="1" applyFill="1" applyBorder="1" applyProtection="1">
      <protection locked="0"/>
    </xf>
    <xf numFmtId="2" fontId="4" fillId="2" borderId="6" xfId="0" applyNumberFormat="1" applyFont="1" applyFill="1" applyBorder="1" applyProtection="1">
      <protection locked="0"/>
    </xf>
    <xf numFmtId="0" fontId="4" fillId="0" borderId="41" xfId="0" applyFont="1" applyBorder="1"/>
    <xf numFmtId="0" fontId="4" fillId="0" borderId="42" xfId="0" applyFont="1" applyBorder="1"/>
    <xf numFmtId="0" fontId="4" fillId="0" borderId="2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5" fillId="0" borderId="0" xfId="0" applyFont="1"/>
    <xf numFmtId="0" fontId="13" fillId="9" borderId="57" xfId="0" applyFont="1" applyFill="1" applyBorder="1" applyAlignment="1">
      <alignment horizontal="center"/>
    </xf>
    <xf numFmtId="2" fontId="13" fillId="9" borderId="34" xfId="0" applyNumberFormat="1" applyFont="1" applyFill="1" applyBorder="1" applyAlignment="1">
      <alignment horizontal="center"/>
    </xf>
    <xf numFmtId="0" fontId="13" fillId="0" borderId="0" xfId="0" applyFont="1"/>
    <xf numFmtId="0" fontId="4" fillId="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29" fillId="9" borderId="6" xfId="2" applyNumberFormat="1" applyFont="1" applyFill="1" applyBorder="1" applyAlignment="1" applyProtection="1">
      <alignment horizontal="center"/>
    </xf>
    <xf numFmtId="0" fontId="0" fillId="9" borderId="10" xfId="0" applyFill="1" applyBorder="1"/>
    <xf numFmtId="1" fontId="0" fillId="9" borderId="6" xfId="0" applyNumberFormat="1" applyFill="1" applyBorder="1" applyAlignment="1">
      <alignment horizontal="center"/>
    </xf>
    <xf numFmtId="2" fontId="4" fillId="9" borderId="10" xfId="0" applyNumberFormat="1" applyFont="1" applyFill="1" applyBorder="1" applyAlignment="1" applyProtection="1">
      <alignment horizontal="center"/>
      <protection locked="0"/>
    </xf>
    <xf numFmtId="2" fontId="4" fillId="9" borderId="18" xfId="0" applyNumberFormat="1" applyFont="1" applyFill="1" applyBorder="1" applyAlignment="1">
      <alignment horizontal="center"/>
    </xf>
    <xf numFmtId="2" fontId="0" fillId="9" borderId="10" xfId="0" applyNumberFormat="1" applyFill="1" applyBorder="1" applyAlignment="1">
      <alignment horizontal="center"/>
    </xf>
    <xf numFmtId="2" fontId="5" fillId="9" borderId="19" xfId="0" applyNumberFormat="1" applyFont="1" applyFill="1" applyBorder="1"/>
    <xf numFmtId="2" fontId="4" fillId="9" borderId="20" xfId="0" applyNumberFormat="1" applyFont="1" applyFill="1" applyBorder="1" applyAlignment="1" applyProtection="1">
      <alignment horizontal="center"/>
      <protection locked="0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2" fontId="4" fillId="9" borderId="6" xfId="0" applyNumberFormat="1" applyFont="1" applyFill="1" applyBorder="1"/>
    <xf numFmtId="2" fontId="5" fillId="9" borderId="6" xfId="0" applyNumberFormat="1" applyFont="1" applyFill="1" applyBorder="1"/>
    <xf numFmtId="0" fontId="4" fillId="14" borderId="50" xfId="0" applyFont="1" applyFill="1" applyBorder="1" applyAlignment="1" applyProtection="1">
      <alignment horizontal="center"/>
      <protection locked="0"/>
    </xf>
    <xf numFmtId="1" fontId="4" fillId="14" borderId="51" xfId="0" applyNumberFormat="1" applyFont="1" applyFill="1" applyBorder="1" applyAlignment="1" applyProtection="1">
      <alignment horizontal="center"/>
      <protection locked="0"/>
    </xf>
    <xf numFmtId="2" fontId="4" fillId="14" borderId="52" xfId="0" applyNumberFormat="1" applyFont="1" applyFill="1" applyBorder="1" applyAlignment="1" applyProtection="1">
      <alignment horizontal="center"/>
      <protection locked="0"/>
    </xf>
    <xf numFmtId="2" fontId="4" fillId="14" borderId="9" xfId="0" applyNumberFormat="1" applyFont="1" applyFill="1" applyBorder="1" applyAlignment="1" applyProtection="1">
      <alignment horizontal="center"/>
      <protection locked="0"/>
    </xf>
    <xf numFmtId="0" fontId="4" fillId="14" borderId="46" xfId="0" applyFont="1" applyFill="1" applyBorder="1" applyAlignment="1" applyProtection="1">
      <alignment horizontal="center"/>
      <protection locked="0"/>
    </xf>
    <xf numFmtId="1" fontId="4" fillId="14" borderId="47" xfId="0" applyNumberFormat="1" applyFont="1" applyFill="1" applyBorder="1" applyAlignment="1" applyProtection="1">
      <alignment horizontal="center"/>
      <protection locked="0"/>
    </xf>
    <xf numFmtId="2" fontId="4" fillId="14" borderId="26" xfId="0" applyNumberFormat="1" applyFont="1" applyFill="1" applyBorder="1" applyAlignment="1" applyProtection="1">
      <alignment horizontal="center"/>
      <protection locked="0"/>
    </xf>
    <xf numFmtId="2" fontId="4" fillId="14" borderId="8" xfId="0" applyNumberFormat="1" applyFont="1" applyFill="1" applyBorder="1" applyAlignment="1" applyProtection="1">
      <alignment horizontal="center"/>
      <protection locked="0"/>
    </xf>
    <xf numFmtId="0" fontId="4" fillId="14" borderId="48" xfId="0" applyFont="1" applyFill="1" applyBorder="1" applyAlignment="1" applyProtection="1">
      <alignment horizontal="center"/>
      <protection locked="0"/>
    </xf>
    <xf numFmtId="1" fontId="4" fillId="14" borderId="55" xfId="0" applyNumberFormat="1" applyFont="1" applyFill="1" applyBorder="1" applyAlignment="1" applyProtection="1">
      <alignment horizontal="center"/>
      <protection locked="0"/>
    </xf>
    <xf numFmtId="2" fontId="4" fillId="14" borderId="56" xfId="0" applyNumberFormat="1" applyFont="1" applyFill="1" applyBorder="1" applyAlignment="1" applyProtection="1">
      <alignment horizontal="center"/>
      <protection locked="0"/>
    </xf>
    <xf numFmtId="2" fontId="4" fillId="14" borderId="58" xfId="0" applyNumberFormat="1" applyFont="1" applyFill="1" applyBorder="1" applyAlignment="1" applyProtection="1">
      <alignment horizontal="center"/>
      <protection locked="0"/>
    </xf>
    <xf numFmtId="9" fontId="0" fillId="2" borderId="0" xfId="0" applyNumberFormat="1" applyFill="1"/>
    <xf numFmtId="0" fontId="6" fillId="2" borderId="0" xfId="0" applyFont="1" applyFill="1" applyAlignment="1">
      <alignment horizontal="left"/>
    </xf>
    <xf numFmtId="9" fontId="5" fillId="11" borderId="6" xfId="5" applyFont="1" applyFill="1" applyBorder="1" applyAlignment="1" applyProtection="1">
      <alignment horizontal="center"/>
      <protection locked="0"/>
    </xf>
    <xf numFmtId="0" fontId="2" fillId="2" borderId="4" xfId="0" applyFont="1" applyFill="1" applyBorder="1"/>
    <xf numFmtId="0" fontId="2" fillId="2" borderId="47" xfId="0" applyFont="1" applyFill="1" applyBorder="1"/>
    <xf numFmtId="0" fontId="0" fillId="2" borderId="26" xfId="0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2" fontId="3" fillId="9" borderId="26" xfId="0" applyNumberFormat="1" applyFon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2" fontId="0" fillId="2" borderId="31" xfId="0" applyNumberFormat="1" applyFill="1" applyBorder="1" applyAlignment="1">
      <alignment horizontal="center"/>
    </xf>
    <xf numFmtId="1" fontId="3" fillId="10" borderId="31" xfId="0" applyNumberFormat="1" applyFont="1" applyFill="1" applyBorder="1" applyAlignment="1">
      <alignment horizontal="center"/>
    </xf>
    <xf numFmtId="2" fontId="3" fillId="9" borderId="56" xfId="0" applyNumberFormat="1" applyFont="1" applyFill="1" applyBorder="1" applyAlignment="1">
      <alignment horizontal="center"/>
    </xf>
    <xf numFmtId="2" fontId="3" fillId="9" borderId="8" xfId="0" applyNumberFormat="1" applyFont="1" applyFill="1" applyBorder="1" applyAlignment="1">
      <alignment horizontal="center"/>
    </xf>
    <xf numFmtId="2" fontId="3" fillId="9" borderId="58" xfId="0" applyNumberFormat="1" applyFont="1" applyFill="1" applyBorder="1" applyAlignment="1">
      <alignment horizontal="center"/>
    </xf>
    <xf numFmtId="2" fontId="3" fillId="9" borderId="31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3" fillId="9" borderId="0" xfId="0" applyFont="1" applyFill="1" applyProtection="1">
      <protection locked="0"/>
    </xf>
    <xf numFmtId="0" fontId="3" fillId="9" borderId="0" xfId="0" applyFont="1" applyFill="1" applyAlignment="1" applyProtection="1">
      <alignment horizontal="center"/>
      <protection locked="0"/>
    </xf>
    <xf numFmtId="0" fontId="39" fillId="9" borderId="0" xfId="0" applyFont="1" applyFill="1"/>
    <xf numFmtId="1" fontId="4" fillId="9" borderId="8" xfId="0" applyNumberFormat="1" applyFont="1" applyFill="1" applyBorder="1" applyAlignment="1">
      <alignment horizontal="center"/>
    </xf>
    <xf numFmtId="1" fontId="4" fillId="9" borderId="6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left"/>
    </xf>
    <xf numFmtId="9" fontId="4" fillId="2" borderId="0" xfId="5" applyFont="1" applyFill="1" applyBorder="1" applyAlignment="1">
      <alignment horizontal="center"/>
    </xf>
    <xf numFmtId="0" fontId="32" fillId="15" borderId="0" xfId="2" applyFont="1" applyFill="1" applyBorder="1" applyAlignment="1" applyProtection="1"/>
    <xf numFmtId="0" fontId="0" fillId="15" borderId="0" xfId="0" applyFill="1"/>
    <xf numFmtId="0" fontId="11" fillId="15" borderId="0" xfId="0" applyFont="1" applyFill="1"/>
    <xf numFmtId="0" fontId="11" fillId="15" borderId="19" xfId="0" applyFont="1" applyFill="1" applyBorder="1"/>
    <xf numFmtId="0" fontId="25" fillId="15" borderId="0" xfId="0" applyFont="1" applyFill="1"/>
    <xf numFmtId="0" fontId="25" fillId="15" borderId="19" xfId="0" applyFont="1" applyFill="1" applyBorder="1"/>
    <xf numFmtId="0" fontId="24" fillId="15" borderId="0" xfId="2" applyFont="1" applyFill="1" applyBorder="1" applyAlignment="1" applyProtection="1"/>
    <xf numFmtId="0" fontId="24" fillId="15" borderId="19" xfId="2" applyFont="1" applyFill="1" applyBorder="1" applyAlignment="1" applyProtection="1"/>
    <xf numFmtId="0" fontId="4" fillId="15" borderId="0" xfId="0" applyFont="1" applyFill="1"/>
    <xf numFmtId="0" fontId="34" fillId="15" borderId="0" xfId="0" applyFont="1" applyFill="1"/>
    <xf numFmtId="0" fontId="0" fillId="15" borderId="19" xfId="0" applyFill="1" applyBorder="1"/>
    <xf numFmtId="0" fontId="0" fillId="15" borderId="7" xfId="0" applyFill="1" applyBorder="1"/>
    <xf numFmtId="0" fontId="0" fillId="15" borderId="5" xfId="0" applyFill="1" applyBorder="1"/>
    <xf numFmtId="0" fontId="4" fillId="15" borderId="2" xfId="0" applyFont="1" applyFill="1" applyBorder="1"/>
    <xf numFmtId="0" fontId="4" fillId="15" borderId="1" xfId="0" applyFont="1" applyFill="1" applyBorder="1"/>
    <xf numFmtId="0" fontId="4" fillId="15" borderId="3" xfId="0" applyFont="1" applyFill="1" applyBorder="1"/>
    <xf numFmtId="0" fontId="4" fillId="15" borderId="18" xfId="0" applyFont="1" applyFill="1" applyBorder="1"/>
    <xf numFmtId="0" fontId="4" fillId="15" borderId="19" xfId="0" applyFont="1" applyFill="1" applyBorder="1"/>
    <xf numFmtId="0" fontId="4" fillId="15" borderId="9" xfId="0" applyFont="1" applyFill="1" applyBorder="1"/>
    <xf numFmtId="0" fontId="4" fillId="15" borderId="7" xfId="0" applyFont="1" applyFill="1" applyBorder="1"/>
    <xf numFmtId="0" fontId="4" fillId="15" borderId="5" xfId="0" applyFont="1" applyFill="1" applyBorder="1"/>
    <xf numFmtId="0" fontId="5" fillId="15" borderId="2" xfId="0" applyFont="1" applyFill="1" applyBorder="1"/>
    <xf numFmtId="0" fontId="5" fillId="15" borderId="1" xfId="0" applyFont="1" applyFill="1" applyBorder="1"/>
    <xf numFmtId="0" fontId="5" fillId="15" borderId="3" xfId="0" applyFont="1" applyFill="1" applyBorder="1"/>
    <xf numFmtId="0" fontId="5" fillId="15" borderId="18" xfId="0" applyFont="1" applyFill="1" applyBorder="1"/>
    <xf numFmtId="0" fontId="5" fillId="15" borderId="0" xfId="0" applyFont="1" applyFill="1"/>
    <xf numFmtId="0" fontId="5" fillId="15" borderId="19" xfId="0" applyFont="1" applyFill="1" applyBorder="1"/>
    <xf numFmtId="0" fontId="5" fillId="15" borderId="9" xfId="0" applyFont="1" applyFill="1" applyBorder="1" applyProtection="1">
      <protection hidden="1"/>
    </xf>
    <xf numFmtId="0" fontId="5" fillId="15" borderId="7" xfId="0" applyFont="1" applyFill="1" applyBorder="1" applyProtection="1">
      <protection hidden="1"/>
    </xf>
    <xf numFmtId="0" fontId="5" fillId="15" borderId="5" xfId="0" applyFont="1" applyFill="1" applyBorder="1" applyProtection="1">
      <protection hidden="1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0" fillId="15" borderId="19" xfId="0" applyFill="1" applyBorder="1" applyAlignment="1" applyProtection="1">
      <alignment horizontal="center"/>
      <protection hidden="1"/>
    </xf>
    <xf numFmtId="0" fontId="12" fillId="15" borderId="0" xfId="0" applyFont="1" applyFill="1" applyAlignment="1">
      <alignment horizontal="center"/>
    </xf>
    <xf numFmtId="0" fontId="5" fillId="9" borderId="1" xfId="0" applyFont="1" applyFill="1" applyBorder="1" applyAlignment="1">
      <alignment vertical="center"/>
    </xf>
    <xf numFmtId="0" fontId="5" fillId="9" borderId="0" xfId="0" applyFont="1" applyFill="1" applyAlignment="1">
      <alignment vertical="center"/>
    </xf>
    <xf numFmtId="0" fontId="5" fillId="9" borderId="7" xfId="0" applyFont="1" applyFill="1" applyBorder="1" applyAlignment="1">
      <alignment vertical="center"/>
    </xf>
    <xf numFmtId="0" fontId="5" fillId="9" borderId="22" xfId="0" applyFont="1" applyFill="1" applyBorder="1" applyAlignment="1">
      <alignment vertical="center"/>
    </xf>
    <xf numFmtId="2" fontId="0" fillId="0" borderId="17" xfId="0" applyNumberFormat="1" applyBorder="1"/>
    <xf numFmtId="1" fontId="0" fillId="9" borderId="4" xfId="0" applyNumberFormat="1" applyFill="1" applyBorder="1"/>
    <xf numFmtId="0" fontId="4" fillId="2" borderId="17" xfId="0" applyFont="1" applyFill="1" applyBorder="1" applyAlignment="1">
      <alignment horizontal="center"/>
    </xf>
    <xf numFmtId="0" fontId="0" fillId="9" borderId="18" xfId="0" applyFill="1" applyBorder="1"/>
    <xf numFmtId="0" fontId="5" fillId="2" borderId="2" xfId="0" applyFont="1" applyFill="1" applyBorder="1"/>
    <xf numFmtId="0" fontId="3" fillId="2" borderId="17" xfId="0" applyFont="1" applyFill="1" applyBorder="1"/>
    <xf numFmtId="0" fontId="0" fillId="9" borderId="9" xfId="0" applyFill="1" applyBorder="1"/>
    <xf numFmtId="0" fontId="5" fillId="9" borderId="7" xfId="0" applyFont="1" applyFill="1" applyBorder="1" applyAlignment="1">
      <alignment horizontal="center"/>
    </xf>
    <xf numFmtId="0" fontId="0" fillId="9" borderId="5" xfId="0" applyFill="1" applyBorder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173" fontId="5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73" fontId="13" fillId="9" borderId="0" xfId="0" applyNumberFormat="1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" fontId="3" fillId="10" borderId="6" xfId="0" applyNumberFormat="1" applyFont="1" applyFill="1" applyBorder="1" applyAlignment="1">
      <alignment horizontal="center" vertical="center"/>
    </xf>
    <xf numFmtId="2" fontId="3" fillId="9" borderId="6" xfId="0" applyNumberFormat="1" applyFont="1" applyFill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73" fontId="5" fillId="9" borderId="0" xfId="0" applyNumberFormat="1" applyFont="1" applyFill="1" applyAlignment="1">
      <alignment horizontal="center" vertical="center"/>
    </xf>
    <xf numFmtId="0" fontId="5" fillId="9" borderId="7" xfId="0" applyFont="1" applyFill="1" applyBorder="1"/>
    <xf numFmtId="0" fontId="0" fillId="9" borderId="6" xfId="0" applyFill="1" applyBorder="1" applyAlignment="1">
      <alignment horizontal="right"/>
    </xf>
    <xf numFmtId="2" fontId="3" fillId="2" borderId="6" xfId="0" applyNumberFormat="1" applyFont="1" applyFill="1" applyBorder="1" applyAlignment="1">
      <alignment horizontal="center"/>
    </xf>
    <xf numFmtId="2" fontId="5" fillId="9" borderId="22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0" fillId="11" borderId="6" xfId="0" applyFill="1" applyBorder="1" applyAlignment="1" applyProtection="1">
      <alignment horizontal="center"/>
      <protection locked="0"/>
    </xf>
    <xf numFmtId="0" fontId="4" fillId="9" borderId="6" xfId="0" applyFont="1" applyFill="1" applyBorder="1" applyAlignment="1">
      <alignment horizontal="right"/>
    </xf>
    <xf numFmtId="167" fontId="5" fillId="2" borderId="22" xfId="0" applyNumberFormat="1" applyFont="1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2" fontId="0" fillId="2" borderId="20" xfId="0" applyNumberFormat="1" applyFill="1" applyBorder="1" applyAlignment="1">
      <alignment horizontal="center"/>
    </xf>
    <xf numFmtId="2" fontId="3" fillId="9" borderId="20" xfId="0" applyNumberFormat="1" applyFont="1" applyFill="1" applyBorder="1" applyAlignment="1">
      <alignment horizontal="center"/>
    </xf>
    <xf numFmtId="2" fontId="3" fillId="9" borderId="39" xfId="0" applyNumberFormat="1" applyFont="1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1" fontId="0" fillId="10" borderId="31" xfId="0" applyNumberFormat="1" applyFill="1" applyBorder="1" applyAlignment="1">
      <alignment horizontal="center"/>
    </xf>
    <xf numFmtId="2" fontId="5" fillId="2" borderId="22" xfId="0" applyNumberFormat="1" applyFont="1" applyFill="1" applyBorder="1" applyAlignment="1">
      <alignment horizontal="center" vertical="center"/>
    </xf>
    <xf numFmtId="173" fontId="3" fillId="2" borderId="6" xfId="0" applyNumberFormat="1" applyFont="1" applyFill="1" applyBorder="1" applyAlignment="1">
      <alignment horizontal="center"/>
    </xf>
    <xf numFmtId="2" fontId="5" fillId="9" borderId="22" xfId="3" applyNumberFormat="1" applyFont="1" applyFill="1" applyBorder="1" applyAlignment="1">
      <alignment horizontal="center"/>
    </xf>
    <xf numFmtId="173" fontId="3" fillId="9" borderId="22" xfId="0" applyNumberFormat="1" applyFont="1" applyFill="1" applyBorder="1" applyAlignment="1">
      <alignment horizontal="center" vertical="center"/>
    </xf>
    <xf numFmtId="173" fontId="3" fillId="2" borderId="22" xfId="0" applyNumberFormat="1" applyFont="1" applyFill="1" applyBorder="1" applyAlignment="1">
      <alignment horizontal="center" vertical="center"/>
    </xf>
    <xf numFmtId="173" fontId="3" fillId="2" borderId="22" xfId="0" applyNumberFormat="1" applyFont="1" applyFill="1" applyBorder="1"/>
    <xf numFmtId="173" fontId="3" fillId="9" borderId="22" xfId="0" applyNumberFormat="1" applyFont="1" applyFill="1" applyBorder="1" applyAlignment="1">
      <alignment horizontal="center"/>
    </xf>
    <xf numFmtId="168" fontId="3" fillId="2" borderId="35" xfId="0" applyNumberFormat="1" applyFont="1" applyFill="1" applyBorder="1" applyAlignment="1">
      <alignment horizontal="center"/>
    </xf>
    <xf numFmtId="173" fontId="3" fillId="2" borderId="35" xfId="0" applyNumberFormat="1" applyFont="1" applyFill="1" applyBorder="1" applyAlignment="1">
      <alignment horizontal="center"/>
    </xf>
    <xf numFmtId="173" fontId="3" fillId="9" borderId="35" xfId="0" applyNumberFormat="1" applyFont="1" applyFill="1" applyBorder="1" applyAlignment="1">
      <alignment horizontal="center"/>
    </xf>
    <xf numFmtId="173" fontId="3" fillId="2" borderId="35" xfId="3" applyNumberFormat="1" applyFont="1" applyFill="1" applyBorder="1" applyAlignment="1">
      <alignment horizontal="center"/>
    </xf>
    <xf numFmtId="173" fontId="3" fillId="9" borderId="32" xfId="0" applyNumberFormat="1" applyFont="1" applyFill="1" applyBorder="1" applyAlignment="1">
      <alignment horizontal="center"/>
    </xf>
    <xf numFmtId="173" fontId="3" fillId="2" borderId="22" xfId="0" applyNumberFormat="1" applyFont="1" applyFill="1" applyBorder="1" applyAlignment="1">
      <alignment horizontal="center"/>
    </xf>
    <xf numFmtId="2" fontId="5" fillId="2" borderId="22" xfId="0" applyNumberFormat="1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 vertical="center"/>
    </xf>
    <xf numFmtId="2" fontId="0" fillId="2" borderId="20" xfId="0" applyNumberFormat="1" applyFill="1" applyBorder="1" applyAlignment="1">
      <alignment vertical="center"/>
    </xf>
    <xf numFmtId="49" fontId="3" fillId="11" borderId="8" xfId="0" applyNumberFormat="1" applyFont="1" applyFill="1" applyBorder="1" applyAlignment="1" applyProtection="1">
      <alignment horizontal="center"/>
      <protection locked="0"/>
    </xf>
    <xf numFmtId="49" fontId="3" fillId="11" borderId="17" xfId="0" applyNumberFormat="1" applyFont="1" applyFill="1" applyBorder="1" applyAlignment="1" applyProtection="1">
      <alignment horizontal="center"/>
      <protection locked="0"/>
    </xf>
    <xf numFmtId="49" fontId="3" fillId="11" borderId="4" xfId="0" applyNumberFormat="1" applyFont="1" applyFill="1" applyBorder="1" applyAlignment="1" applyProtection="1">
      <alignment horizontal="center"/>
      <protection locked="0"/>
    </xf>
    <xf numFmtId="49" fontId="3" fillId="11" borderId="8" xfId="0" applyNumberFormat="1" applyFont="1" applyFill="1" applyBorder="1" applyAlignment="1" applyProtection="1">
      <alignment horizontal="center" wrapText="1"/>
      <protection locked="0"/>
    </xf>
    <xf numFmtId="49" fontId="3" fillId="11" borderId="17" xfId="0" applyNumberFormat="1" applyFont="1" applyFill="1" applyBorder="1" applyAlignment="1" applyProtection="1">
      <alignment horizontal="center" wrapText="1"/>
      <protection locked="0"/>
    </xf>
    <xf numFmtId="49" fontId="3" fillId="11" borderId="4" xfId="0" applyNumberFormat="1" applyFont="1" applyFill="1" applyBorder="1" applyAlignment="1" applyProtection="1">
      <alignment horizontal="center" wrapText="1"/>
      <protection locked="0"/>
    </xf>
    <xf numFmtId="2" fontId="5" fillId="2" borderId="7" xfId="0" applyNumberFormat="1" applyFont="1" applyFill="1" applyBorder="1" applyAlignment="1">
      <alignment horizontal="center"/>
    </xf>
    <xf numFmtId="2" fontId="5" fillId="2" borderId="17" xfId="0" applyNumberFormat="1" applyFont="1" applyFill="1" applyBorder="1" applyAlignment="1">
      <alignment horizontal="center"/>
    </xf>
    <xf numFmtId="0" fontId="4" fillId="9" borderId="6" xfId="0" applyFont="1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33" fillId="15" borderId="0" xfId="2" applyFont="1" applyFill="1" applyBorder="1" applyAlignment="1" applyProtection="1">
      <alignment horizontal="left"/>
    </xf>
    <xf numFmtId="0" fontId="4" fillId="2" borderId="6" xfId="3" applyFill="1" applyBorder="1" applyAlignment="1">
      <alignment horizontal="center"/>
    </xf>
    <xf numFmtId="0" fontId="6" fillId="11" borderId="7" xfId="0" applyFont="1" applyFill="1" applyBorder="1" applyAlignment="1" applyProtection="1">
      <alignment horizontal="center"/>
      <protection locked="0"/>
    </xf>
    <xf numFmtId="0" fontId="9" fillId="11" borderId="7" xfId="0" applyFont="1" applyFill="1" applyBorder="1" applyAlignment="1" applyProtection="1">
      <alignment horizontal="center"/>
      <protection locked="0"/>
    </xf>
    <xf numFmtId="16" fontId="4" fillId="2" borderId="6" xfId="3" applyNumberFormat="1" applyFill="1" applyBorder="1" applyAlignment="1">
      <alignment horizontal="center"/>
    </xf>
    <xf numFmtId="49" fontId="6" fillId="11" borderId="7" xfId="0" applyNumberFormat="1" applyFont="1" applyFill="1" applyBorder="1" applyAlignment="1" applyProtection="1">
      <alignment horizontal="center"/>
      <protection locked="0"/>
    </xf>
    <xf numFmtId="49" fontId="9" fillId="11" borderId="7" xfId="0" applyNumberFormat="1" applyFont="1" applyFill="1" applyBorder="1" applyAlignment="1" applyProtection="1">
      <alignment horizontal="center"/>
      <protection locked="0"/>
    </xf>
    <xf numFmtId="0" fontId="3" fillId="2" borderId="20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4" fillId="9" borderId="0" xfId="3" applyFill="1" applyAlignment="1">
      <alignment horizontal="center"/>
    </xf>
    <xf numFmtId="0" fontId="4" fillId="2" borderId="19" xfId="3" applyFill="1" applyBorder="1" applyAlignment="1">
      <alignment horizontal="center"/>
    </xf>
    <xf numFmtId="0" fontId="0" fillId="2" borderId="17" xfId="0" applyFill="1" applyBorder="1" applyAlignment="1">
      <alignment horizontal="left"/>
    </xf>
    <xf numFmtId="9" fontId="5" fillId="2" borderId="8" xfId="0" applyNumberFormat="1" applyFont="1" applyFill="1" applyBorder="1" applyAlignment="1">
      <alignment horizontal="center"/>
    </xf>
    <xf numFmtId="9" fontId="5" fillId="2" borderId="4" xfId="0" applyNumberFormat="1" applyFon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49" fontId="0" fillId="11" borderId="8" xfId="0" applyNumberFormat="1" applyFill="1" applyBorder="1" applyAlignment="1" applyProtection="1">
      <alignment horizontal="center" wrapText="1"/>
      <protection locked="0"/>
    </xf>
    <xf numFmtId="49" fontId="0" fillId="11" borderId="17" xfId="0" applyNumberFormat="1" applyFill="1" applyBorder="1" applyAlignment="1" applyProtection="1">
      <alignment horizontal="center" wrapText="1"/>
      <protection locked="0"/>
    </xf>
    <xf numFmtId="49" fontId="0" fillId="11" borderId="4" xfId="0" applyNumberFormat="1" applyFill="1" applyBorder="1" applyAlignment="1" applyProtection="1">
      <alignment horizontal="center" wrapText="1"/>
      <protection locked="0"/>
    </xf>
    <xf numFmtId="2" fontId="5" fillId="2" borderId="0" xfId="0" applyNumberFormat="1" applyFont="1" applyFill="1" applyAlignment="1">
      <alignment horizontal="right"/>
    </xf>
    <xf numFmtId="0" fontId="4" fillId="2" borderId="6" xfId="0" applyFont="1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9" fontId="5" fillId="2" borderId="0" xfId="0" applyNumberFormat="1" applyFont="1" applyFill="1" applyAlignment="1">
      <alignment horizontal="center"/>
    </xf>
    <xf numFmtId="9" fontId="5" fillId="2" borderId="6" xfId="0" applyNumberFormat="1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49" fontId="4" fillId="11" borderId="8" xfId="0" applyNumberFormat="1" applyFont="1" applyFill="1" applyBorder="1" applyAlignment="1" applyProtection="1">
      <alignment horizontal="center" wrapText="1"/>
      <protection locked="0"/>
    </xf>
    <xf numFmtId="0" fontId="4" fillId="2" borderId="7" xfId="3" applyFill="1" applyBorder="1" applyAlignment="1">
      <alignment horizontal="center"/>
    </xf>
    <xf numFmtId="0" fontId="4" fillId="2" borderId="5" xfId="3" applyFill="1" applyBorder="1" applyAlignment="1">
      <alignment horizontal="center"/>
    </xf>
    <xf numFmtId="49" fontId="0" fillId="11" borderId="7" xfId="0" applyNumberFormat="1" applyFill="1" applyBorder="1" applyAlignment="1" applyProtection="1">
      <alignment horizontal="center"/>
      <protection locked="0"/>
    </xf>
    <xf numFmtId="167" fontId="0" fillId="2" borderId="17" xfId="0" applyNumberFormat="1" applyFill="1" applyBorder="1" applyAlignment="1">
      <alignment horizontal="center"/>
    </xf>
    <xf numFmtId="167" fontId="0" fillId="2" borderId="4" xfId="0" applyNumberFormat="1" applyFill="1" applyBorder="1" applyAlignment="1">
      <alignment horizontal="center"/>
    </xf>
    <xf numFmtId="0" fontId="4" fillId="9" borderId="1" xfId="3" applyFill="1" applyBorder="1" applyAlignment="1">
      <alignment horizontal="center"/>
    </xf>
    <xf numFmtId="0" fontId="4" fillId="9" borderId="3" xfId="3" applyFill="1" applyBorder="1" applyAlignment="1">
      <alignment horizontal="center"/>
    </xf>
    <xf numFmtId="0" fontId="4" fillId="2" borderId="61" xfId="0" applyFont="1" applyFill="1" applyBorder="1" applyAlignment="1">
      <alignment horizontal="center"/>
    </xf>
    <xf numFmtId="0" fontId="0" fillId="2" borderId="61" xfId="0" applyFill="1" applyBorder="1" applyAlignment="1">
      <alignment horizontal="center"/>
    </xf>
    <xf numFmtId="0" fontId="3" fillId="2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wrapText="1"/>
    </xf>
    <xf numFmtId="0" fontId="4" fillId="2" borderId="13" xfId="0" applyFont="1" applyFill="1" applyBorder="1" applyAlignment="1">
      <alignment horizontal="center" wrapText="1"/>
    </xf>
    <xf numFmtId="0" fontId="4" fillId="2" borderId="14" xfId="0" applyFont="1" applyFill="1" applyBorder="1" applyAlignment="1">
      <alignment horizontal="center" wrapText="1"/>
    </xf>
    <xf numFmtId="0" fontId="4" fillId="2" borderId="40" xfId="0" applyFont="1" applyFill="1" applyBorder="1" applyAlignment="1">
      <alignment horizontal="center" wrapText="1"/>
    </xf>
    <xf numFmtId="0" fontId="4" fillId="2" borderId="61" xfId="0" applyFont="1" applyFill="1" applyBorder="1" applyAlignment="1">
      <alignment horizontal="center" wrapText="1"/>
    </xf>
    <xf numFmtId="0" fontId="4" fillId="2" borderId="62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wrapText="1"/>
    </xf>
    <xf numFmtId="0" fontId="5" fillId="2" borderId="17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3" fillId="2" borderId="9" xfId="0" applyFont="1" applyFill="1" applyBorder="1" applyAlignment="1">
      <alignment horizontal="center" wrapText="1"/>
    </xf>
    <xf numFmtId="167" fontId="4" fillId="2" borderId="6" xfId="0" applyNumberFormat="1" applyFont="1" applyFill="1" applyBorder="1" applyAlignment="1">
      <alignment horizontal="center" wrapText="1"/>
    </xf>
    <xf numFmtId="167" fontId="0" fillId="2" borderId="6" xfId="0" applyNumberForma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5" fillId="2" borderId="63" xfId="0" applyFont="1" applyFill="1" applyBorder="1" applyAlignment="1">
      <alignment horizontal="center" wrapText="1"/>
    </xf>
    <xf numFmtId="0" fontId="3" fillId="2" borderId="54" xfId="0" applyFont="1" applyFill="1" applyBorder="1" applyAlignment="1">
      <alignment horizontal="center" wrapText="1"/>
    </xf>
    <xf numFmtId="0" fontId="3" fillId="2" borderId="51" xfId="0" applyFont="1" applyFill="1" applyBorder="1" applyAlignment="1">
      <alignment horizontal="center" wrapText="1"/>
    </xf>
    <xf numFmtId="0" fontId="18" fillId="9" borderId="0" xfId="2" applyFont="1" applyFill="1" applyAlignment="1" applyProtection="1">
      <alignment horizontal="center"/>
    </xf>
    <xf numFmtId="2" fontId="4" fillId="0" borderId="17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8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" fontId="3" fillId="9" borderId="8" xfId="0" applyNumberFormat="1" applyFont="1" applyFill="1" applyBorder="1" applyAlignment="1">
      <alignment horizontal="left" wrapText="1"/>
    </xf>
    <xf numFmtId="1" fontId="3" fillId="9" borderId="17" xfId="0" applyNumberFormat="1" applyFont="1" applyFill="1" applyBorder="1" applyAlignment="1">
      <alignment horizontal="left" wrapText="1"/>
    </xf>
    <xf numFmtId="1" fontId="3" fillId="9" borderId="4" xfId="0" applyNumberFormat="1" applyFont="1" applyFill="1" applyBorder="1" applyAlignment="1">
      <alignment horizontal="left" wrapText="1"/>
    </xf>
    <xf numFmtId="0" fontId="4" fillId="7" borderId="59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0" fontId="4" fillId="8" borderId="59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13" fillId="14" borderId="33" xfId="0" applyFont="1" applyFill="1" applyBorder="1" applyAlignment="1">
      <alignment horizontal="left" wrapText="1"/>
    </xf>
    <xf numFmtId="0" fontId="13" fillId="14" borderId="57" xfId="0" applyFont="1" applyFill="1" applyBorder="1" applyAlignment="1">
      <alignment horizontal="left" wrapText="1"/>
    </xf>
    <xf numFmtId="0" fontId="13" fillId="14" borderId="34" xfId="0" applyFont="1" applyFill="1" applyBorder="1" applyAlignment="1">
      <alignment horizontal="left" wrapText="1"/>
    </xf>
    <xf numFmtId="0" fontId="13" fillId="13" borderId="33" xfId="0" applyFont="1" applyFill="1" applyBorder="1" applyAlignment="1">
      <alignment horizontal="left" wrapText="1"/>
    </xf>
    <xf numFmtId="0" fontId="13" fillId="13" borderId="57" xfId="0" applyFont="1" applyFill="1" applyBorder="1" applyAlignment="1">
      <alignment horizontal="left" wrapText="1"/>
    </xf>
    <xf numFmtId="0" fontId="13" fillId="13" borderId="34" xfId="0" applyFont="1" applyFill="1" applyBorder="1" applyAlignment="1">
      <alignment horizontal="left" wrapText="1"/>
    </xf>
    <xf numFmtId="0" fontId="4" fillId="9" borderId="40" xfId="2" applyNumberFormat="1" applyFont="1" applyFill="1" applyBorder="1" applyAlignment="1" applyProtection="1">
      <alignment horizontal="center"/>
    </xf>
    <xf numFmtId="0" fontId="4" fillId="9" borderId="61" xfId="2" applyNumberFormat="1" applyFont="1" applyFill="1" applyBorder="1" applyAlignment="1" applyProtection="1">
      <alignment horizontal="center"/>
    </xf>
    <xf numFmtId="0" fontId="7" fillId="9" borderId="0" xfId="0" applyFont="1" applyFill="1" applyAlignment="1">
      <alignment horizontal="center"/>
    </xf>
    <xf numFmtId="0" fontId="4" fillId="9" borderId="33" xfId="2" applyNumberFormat="1" applyFont="1" applyFill="1" applyBorder="1" applyAlignment="1" applyProtection="1">
      <alignment horizontal="center" wrapText="1"/>
    </xf>
    <xf numFmtId="0" fontId="4" fillId="9" borderId="57" xfId="2" applyNumberFormat="1" applyFont="1" applyFill="1" applyBorder="1" applyAlignment="1" applyProtection="1">
      <alignment horizontal="center" wrapText="1"/>
    </xf>
    <xf numFmtId="0" fontId="4" fillId="9" borderId="60" xfId="2" applyNumberFormat="1" applyFont="1" applyFill="1" applyBorder="1" applyAlignment="1" applyProtection="1">
      <alignment horizontal="center" wrapText="1"/>
    </xf>
    <xf numFmtId="2" fontId="9" fillId="9" borderId="22" xfId="0" applyNumberFormat="1" applyFont="1" applyFill="1" applyBorder="1"/>
    <xf numFmtId="49" fontId="28" fillId="9" borderId="7" xfId="0" applyNumberFormat="1" applyFont="1" applyFill="1" applyBorder="1" applyAlignment="1">
      <alignment horizontal="left"/>
    </xf>
    <xf numFmtId="0" fontId="4" fillId="9" borderId="7" xfId="0" applyFont="1" applyFill="1" applyBorder="1" applyAlignment="1">
      <alignment horizontal="left"/>
    </xf>
    <xf numFmtId="0" fontId="4" fillId="11" borderId="8" xfId="2" applyFont="1" applyFill="1" applyBorder="1" applyAlignment="1" applyProtection="1">
      <alignment horizontal="center"/>
      <protection locked="0"/>
    </xf>
    <xf numFmtId="0" fontId="4" fillId="11" borderId="17" xfId="2" applyFont="1" applyFill="1" applyBorder="1" applyAlignment="1" applyProtection="1">
      <alignment horizontal="center"/>
      <protection locked="0"/>
    </xf>
    <xf numFmtId="0" fontId="4" fillId="11" borderId="4" xfId="2" applyFont="1" applyFill="1" applyBorder="1" applyAlignment="1" applyProtection="1">
      <alignment horizontal="center"/>
      <protection locked="0"/>
    </xf>
    <xf numFmtId="0" fontId="5" fillId="10" borderId="7" xfId="0" applyFont="1" applyFill="1" applyBorder="1" applyAlignment="1">
      <alignment horizontal="center"/>
    </xf>
    <xf numFmtId="0" fontId="3" fillId="9" borderId="20" xfId="0" applyFont="1" applyFill="1" applyBorder="1" applyAlignment="1">
      <alignment horizontal="left" wrapText="1"/>
    </xf>
    <xf numFmtId="0" fontId="3" fillId="9" borderId="11" xfId="0" applyFont="1" applyFill="1" applyBorder="1" applyAlignment="1">
      <alignment horizontal="left" wrapText="1"/>
    </xf>
    <xf numFmtId="2" fontId="13" fillId="10" borderId="7" xfId="0" applyNumberFormat="1" applyFont="1" applyFill="1" applyBorder="1" applyAlignment="1">
      <alignment horizontal="center"/>
    </xf>
    <xf numFmtId="0" fontId="17" fillId="9" borderId="0" xfId="2" applyFill="1" applyAlignment="1" applyProtection="1">
      <alignment horizontal="center" wrapText="1"/>
    </xf>
    <xf numFmtId="2" fontId="4" fillId="9" borderId="1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2" fontId="5" fillId="10" borderId="17" xfId="0" applyNumberFormat="1" applyFont="1" applyFill="1" applyBorder="1" applyAlignment="1">
      <alignment horizontal="center"/>
    </xf>
    <xf numFmtId="0" fontId="5" fillId="10" borderId="17" xfId="0" applyFont="1" applyFill="1" applyBorder="1" applyAlignment="1">
      <alignment horizontal="center"/>
    </xf>
    <xf numFmtId="0" fontId="5" fillId="13" borderId="8" xfId="2" applyNumberFormat="1" applyFont="1" applyFill="1" applyBorder="1" applyAlignment="1" applyProtection="1">
      <alignment horizontal="left" wrapText="1"/>
    </xf>
    <xf numFmtId="0" fontId="4" fillId="13" borderId="17" xfId="2" applyNumberFormat="1" applyFont="1" applyFill="1" applyBorder="1" applyAlignment="1" applyProtection="1">
      <alignment horizontal="left" wrapText="1"/>
    </xf>
    <xf numFmtId="0" fontId="4" fillId="13" borderId="4" xfId="2" applyNumberFormat="1" applyFont="1" applyFill="1" applyBorder="1" applyAlignment="1" applyProtection="1">
      <alignment horizontal="left" wrapText="1"/>
    </xf>
    <xf numFmtId="0" fontId="5" fillId="14" borderId="8" xfId="2" applyNumberFormat="1" applyFont="1" applyFill="1" applyBorder="1" applyAlignment="1" applyProtection="1">
      <alignment horizontal="left" wrapText="1"/>
    </xf>
    <xf numFmtId="0" fontId="5" fillId="14" borderId="17" xfId="2" applyNumberFormat="1" applyFont="1" applyFill="1" applyBorder="1" applyAlignment="1" applyProtection="1">
      <alignment horizontal="left" wrapText="1"/>
    </xf>
    <xf numFmtId="0" fontId="5" fillId="14" borderId="4" xfId="2" applyNumberFormat="1" applyFont="1" applyFill="1" applyBorder="1" applyAlignment="1" applyProtection="1">
      <alignment horizontal="left" wrapText="1"/>
    </xf>
  </cellXfs>
  <cellStyles count="6">
    <cellStyle name="Erotin 2" xfId="1" xr:uid="{00000000-0005-0000-0000-000000000000}"/>
    <cellStyle name="Hyperlinkki" xfId="2" builtinId="8"/>
    <cellStyle name="Normaali" xfId="0" builtinId="0"/>
    <cellStyle name="Normaali 2 2" xfId="3" xr:uid="{00000000-0005-0000-0000-000003000000}"/>
    <cellStyle name="Pilkku [0]" xfId="4" builtinId="6"/>
    <cellStyle name="Prosenttia" xfId="5" builtinId="5"/>
  </cellStyles>
  <dxfs count="0"/>
  <tableStyles count="0" defaultTableStyle="TableStyleMedium9" defaultPivotStyle="PivotStyleLight16"/>
  <colors>
    <mruColors>
      <color rgb="FFCCFFCC"/>
      <color rgb="FFF97439"/>
      <color rgb="FFF98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6</xdr:row>
      <xdr:rowOff>0</xdr:rowOff>
    </xdr:from>
    <xdr:to>
      <xdr:col>8</xdr:col>
      <xdr:colOff>200025</xdr:colOff>
      <xdr:row>6</xdr:row>
      <xdr:rowOff>38100</xdr:rowOff>
    </xdr:to>
    <xdr:sp macro="" textlink="">
      <xdr:nvSpPr>
        <xdr:cNvPr id="27160" name="Text Box 20">
          <a:extLst>
            <a:ext uri="{FF2B5EF4-FFF2-40B4-BE49-F238E27FC236}">
              <a16:creationId xmlns:a16="http://schemas.microsoft.com/office/drawing/2014/main" id="{E981EB2E-6CC0-48E6-9EB8-F9B3E41B645C}"/>
            </a:ext>
          </a:extLst>
        </xdr:cNvPr>
        <xdr:cNvSpPr txBox="1">
          <a:spLocks noChangeArrowheads="1"/>
        </xdr:cNvSpPr>
      </xdr:nvSpPr>
      <xdr:spPr bwMode="auto">
        <a:xfrm>
          <a:off x="3886200" y="1285875"/>
          <a:ext cx="857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226695</xdr:colOff>
      <xdr:row>0</xdr:row>
      <xdr:rowOff>104775</xdr:rowOff>
    </xdr:from>
    <xdr:to>
      <xdr:col>16</xdr:col>
      <xdr:colOff>277746</xdr:colOff>
      <xdr:row>0</xdr:row>
      <xdr:rowOff>140589</xdr:rowOff>
    </xdr:to>
    <xdr:sp macro="" textlink="">
      <xdr:nvSpPr>
        <xdr:cNvPr id="1046" name="Text Box 22">
          <a:extLst>
            <a:ext uri="{FF2B5EF4-FFF2-40B4-BE49-F238E27FC236}">
              <a16:creationId xmlns:a16="http://schemas.microsoft.com/office/drawing/2014/main" id="{137B2745-8372-4A75-99B4-1C82EA1E1502}"/>
            </a:ext>
          </a:extLst>
        </xdr:cNvPr>
        <xdr:cNvSpPr txBox="1">
          <a:spLocks noChangeArrowheads="1"/>
        </xdr:cNvSpPr>
      </xdr:nvSpPr>
      <xdr:spPr bwMode="auto">
        <a:xfrm>
          <a:off x="3143250" y="104775"/>
          <a:ext cx="49244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defRPr sz="1000"/>
          </a:pPr>
          <a:endParaRPr lang="fi-FI" sz="36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defRPr sz="1000"/>
          </a:pPr>
          <a:r>
            <a:rPr lang="fi-FI" sz="3600" b="1" i="0" strike="noStrike">
              <a:solidFill>
                <a:srgbClr val="000000"/>
              </a:solidFill>
              <a:latin typeface="Franklin Gothic Medium Cond"/>
            </a:rPr>
            <a:t>RAKENNUSLIITTO </a:t>
          </a:r>
          <a:endParaRPr lang="fi-FI" sz="22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defRPr sz="1000"/>
          </a:pPr>
          <a:r>
            <a:rPr lang="fi-FI" sz="2200" b="1" i="0" strike="noStrike">
              <a:solidFill>
                <a:srgbClr val="000000"/>
              </a:solidFill>
              <a:latin typeface="Franklin Gothic Medium Cond"/>
            </a:rPr>
            <a:t>ilmastointialan urakkahinnoittelun mittauspöytäkirja</a:t>
          </a:r>
        </a:p>
        <a:p>
          <a:pPr algn="l" rtl="0">
            <a:defRPr sz="1000"/>
          </a:pP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121920</xdr:colOff>
      <xdr:row>36</xdr:row>
      <xdr:rowOff>57150</xdr:rowOff>
    </xdr:from>
    <xdr:to>
      <xdr:col>15</xdr:col>
      <xdr:colOff>198120</xdr:colOff>
      <xdr:row>40</xdr:row>
      <xdr:rowOff>66675</xdr:rowOff>
    </xdr:to>
    <xdr:sp macro="" textlink="">
      <xdr:nvSpPr>
        <xdr:cNvPr id="19" name="Text Box 22">
          <a:extLst>
            <a:ext uri="{FF2B5EF4-FFF2-40B4-BE49-F238E27FC236}">
              <a16:creationId xmlns:a16="http://schemas.microsoft.com/office/drawing/2014/main" id="{1BA53A9E-8E54-40D9-B5CB-7C9B765C12F7}"/>
            </a:ext>
          </a:extLst>
        </xdr:cNvPr>
        <xdr:cNvSpPr txBox="1">
          <a:spLocks noChangeArrowheads="1"/>
        </xdr:cNvSpPr>
      </xdr:nvSpPr>
      <xdr:spPr bwMode="auto">
        <a:xfrm>
          <a:off x="2579370" y="7839075"/>
          <a:ext cx="5210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defRPr sz="1000"/>
          </a:pPr>
          <a:r>
            <a:rPr lang="fi-FI" sz="2200" b="1" i="0" strike="noStrike">
              <a:solidFill>
                <a:srgbClr val="000000"/>
              </a:solidFill>
              <a:latin typeface="Franklin Gothic Medium Cond"/>
            </a:rPr>
            <a:t>Ilmastointialan urakkamittauspöytäkirja</a:t>
          </a:r>
        </a:p>
        <a:p>
          <a:pPr algn="l" rtl="0">
            <a:defRPr sz="1000"/>
          </a:pP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7</xdr:col>
      <xdr:colOff>281940</xdr:colOff>
      <xdr:row>6</xdr:row>
      <xdr:rowOff>57151</xdr:rowOff>
    </xdr:from>
    <xdr:to>
      <xdr:col>18</xdr:col>
      <xdr:colOff>133350</xdr:colOff>
      <xdr:row>8</xdr:row>
      <xdr:rowOff>142875</xdr:rowOff>
    </xdr:to>
    <xdr:sp macro="" textlink="">
      <xdr:nvSpPr>
        <xdr:cNvPr id="6" name="Text Box 22">
          <a:extLst>
            <a:ext uri="{FF2B5EF4-FFF2-40B4-BE49-F238E27FC236}">
              <a16:creationId xmlns:a16="http://schemas.microsoft.com/office/drawing/2014/main" id="{04B1760E-81EE-4DF7-9998-38A9ADA583D1}"/>
            </a:ext>
          </a:extLst>
        </xdr:cNvPr>
        <xdr:cNvSpPr txBox="1">
          <a:spLocks noChangeArrowheads="1"/>
        </xdr:cNvSpPr>
      </xdr:nvSpPr>
      <xdr:spPr bwMode="auto">
        <a:xfrm>
          <a:off x="3760636" y="1340955"/>
          <a:ext cx="5905997" cy="499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lnSpc>
              <a:spcPts val="2100"/>
            </a:lnSpc>
            <a:defRPr sz="1000"/>
          </a:pPr>
          <a:r>
            <a:rPr lang="fi-FI" sz="2300" b="1" i="0" u="sng" strike="noStrike">
              <a:solidFill>
                <a:srgbClr val="000000"/>
              </a:solidFill>
              <a:latin typeface="Franklin Gothic Medium Cond"/>
            </a:rPr>
            <a:t>Ilmastointialan urakan</a:t>
          </a:r>
          <a:r>
            <a:rPr lang="fi-FI" sz="2300" b="1" i="0" u="sng" strike="noStrike" baseline="0">
              <a:solidFill>
                <a:srgbClr val="000000"/>
              </a:solidFill>
              <a:latin typeface="Franklin Gothic Medium Cond"/>
            </a:rPr>
            <a:t>mittausohjelma 2022 - 2025</a:t>
          </a:r>
          <a:r>
            <a:rPr lang="fi-FI" sz="23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352425</xdr:colOff>
      <xdr:row>1</xdr:row>
      <xdr:rowOff>9525</xdr:rowOff>
    </xdr:from>
    <xdr:to>
      <xdr:col>13</xdr:col>
      <xdr:colOff>400050</xdr:colOff>
      <xdr:row>4</xdr:row>
      <xdr:rowOff>180975</xdr:rowOff>
    </xdr:to>
    <xdr:pic>
      <xdr:nvPicPr>
        <xdr:cNvPr id="27164" name="Kuva 8" descr="suomi-ruotsi-vaaka-gif.gif">
          <a:extLst>
            <a:ext uri="{FF2B5EF4-FFF2-40B4-BE49-F238E27FC236}">
              <a16:creationId xmlns:a16="http://schemas.microsoft.com/office/drawing/2014/main" id="{DFBD4DC1-E9F0-4A0A-9601-0B5B08F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219075"/>
          <a:ext cx="3924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0</xdr:row>
      <xdr:rowOff>161925</xdr:rowOff>
    </xdr:from>
    <xdr:to>
      <xdr:col>4</xdr:col>
      <xdr:colOff>276225</xdr:colOff>
      <xdr:row>2</xdr:row>
      <xdr:rowOff>19050</xdr:rowOff>
    </xdr:to>
    <xdr:pic>
      <xdr:nvPicPr>
        <xdr:cNvPr id="27165" name="Kuva 9" descr="suomi-vaaka-väri_gif.gif">
          <a:extLst>
            <a:ext uri="{FF2B5EF4-FFF2-40B4-BE49-F238E27FC236}">
              <a16:creationId xmlns:a16="http://schemas.microsoft.com/office/drawing/2014/main" id="{EBE1FB66-7ECB-4A9D-A907-2A9A5BCCB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1925"/>
          <a:ext cx="1914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32</xdr:row>
      <xdr:rowOff>219075</xdr:rowOff>
    </xdr:from>
    <xdr:to>
      <xdr:col>6</xdr:col>
      <xdr:colOff>104775</xdr:colOff>
      <xdr:row>35</xdr:row>
      <xdr:rowOff>133350</xdr:rowOff>
    </xdr:to>
    <xdr:pic>
      <xdr:nvPicPr>
        <xdr:cNvPr id="27166" name="Kuva 10" descr="suomi-ruotsi-vaaka-v.JPG">
          <a:extLst>
            <a:ext uri="{FF2B5EF4-FFF2-40B4-BE49-F238E27FC236}">
              <a16:creationId xmlns:a16="http://schemas.microsoft.com/office/drawing/2014/main" id="{F3D3C47F-4190-4928-AB9B-88909577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153275"/>
          <a:ext cx="2657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8</xdr:row>
      <xdr:rowOff>198370</xdr:rowOff>
    </xdr:from>
    <xdr:to>
      <xdr:col>18</xdr:col>
      <xdr:colOff>9525</xdr:colOff>
      <xdr:row>23</xdr:row>
      <xdr:rowOff>66865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D822CF0-C99B-44E6-9CDD-774CBB98D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3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4638675" y="1903345"/>
          <a:ext cx="4914900" cy="3268920"/>
        </a:xfrm>
        <a:prstGeom prst="rect">
          <a:avLst/>
        </a:prstGeom>
        <a:effectLst>
          <a:softEdge rad="1778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058"/>
  <sheetViews>
    <sheetView tabSelected="1" view="pageLayout" zoomScaleNormal="100" workbookViewId="0"/>
  </sheetViews>
  <sheetFormatPr defaultRowHeight="32.5" x14ac:dyDescent="0.65"/>
  <cols>
    <col min="1" max="1" width="5.54296875" style="5" customWidth="1"/>
    <col min="2" max="2" width="7.453125" style="15" customWidth="1"/>
    <col min="3" max="6" width="7.26953125" style="15" customWidth="1"/>
    <col min="7" max="7" width="7.26953125" style="78" customWidth="1"/>
    <col min="8" max="8" width="7.1796875" style="5" customWidth="1"/>
    <col min="9" max="15" width="7.26953125" style="5" customWidth="1"/>
    <col min="16" max="16" width="8.1796875" style="5" customWidth="1"/>
    <col min="17" max="17" width="7.26953125" style="5" customWidth="1"/>
    <col min="18" max="18" width="12.453125" style="5" customWidth="1"/>
    <col min="19" max="19" width="8.1796875" style="5" customWidth="1"/>
    <col min="20" max="20" width="7.26953125" customWidth="1"/>
    <col min="21" max="21" width="6" customWidth="1"/>
  </cols>
  <sheetData>
    <row r="1" spans="1:35" ht="16.5" customHeight="1" x14ac:dyDescent="0.25">
      <c r="A1" s="598"/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  <c r="R1" s="599"/>
      <c r="S1" s="59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</row>
    <row r="2" spans="1:35" ht="18" customHeight="1" x14ac:dyDescent="0.25">
      <c r="A2" s="599"/>
      <c r="B2" s="599"/>
      <c r="C2" s="599"/>
      <c r="D2" s="600"/>
      <c r="E2" s="601"/>
      <c r="F2" s="600"/>
      <c r="G2" s="600"/>
      <c r="H2" s="600"/>
      <c r="I2" s="600"/>
      <c r="J2" s="600"/>
      <c r="K2" s="600"/>
      <c r="L2" s="600"/>
      <c r="M2" s="600"/>
      <c r="N2" s="600"/>
      <c r="O2" s="599"/>
      <c r="P2" s="599"/>
      <c r="Q2" s="599"/>
      <c r="R2" s="599"/>
      <c r="S2" s="59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</row>
    <row r="3" spans="1:35" ht="18" customHeight="1" x14ac:dyDescent="0.3">
      <c r="A3" s="602"/>
      <c r="B3" s="602"/>
      <c r="C3" s="602"/>
      <c r="D3" s="602"/>
      <c r="E3" s="603"/>
      <c r="F3" s="600"/>
      <c r="G3" s="600"/>
      <c r="H3" s="600"/>
      <c r="I3" s="600"/>
      <c r="J3" s="600"/>
      <c r="K3" s="600"/>
      <c r="L3" s="600"/>
      <c r="M3" s="600"/>
      <c r="N3" s="600"/>
      <c r="O3" s="599"/>
      <c r="P3" s="599"/>
      <c r="Q3" s="599"/>
      <c r="R3" s="599"/>
      <c r="S3" s="59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</row>
    <row r="4" spans="1:35" ht="15.75" customHeight="1" x14ac:dyDescent="0.3">
      <c r="A4" s="604" t="s">
        <v>374</v>
      </c>
      <c r="B4" s="604"/>
      <c r="C4" s="604"/>
      <c r="D4" s="604"/>
      <c r="E4" s="605"/>
      <c r="F4" s="600"/>
      <c r="G4" s="600"/>
      <c r="H4" s="600"/>
      <c r="I4" s="600"/>
      <c r="J4" s="600"/>
      <c r="K4" s="600"/>
      <c r="L4" s="600"/>
      <c r="M4" s="600"/>
      <c r="N4" s="600"/>
      <c r="O4" s="599"/>
      <c r="P4" s="599"/>
      <c r="Q4" s="599"/>
      <c r="R4" s="599"/>
      <c r="S4" s="59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</row>
    <row r="5" spans="1:35" ht="16.5" customHeight="1" x14ac:dyDescent="0.3">
      <c r="A5" s="604" t="s">
        <v>375</v>
      </c>
      <c r="B5" s="604"/>
      <c r="C5" s="604"/>
      <c r="D5" s="604"/>
      <c r="E5" s="605"/>
      <c r="F5" s="600"/>
      <c r="G5" s="600"/>
      <c r="H5" s="600"/>
      <c r="I5" s="600"/>
      <c r="J5" s="600"/>
      <c r="K5" s="600"/>
      <c r="L5" s="600"/>
      <c r="M5" s="600"/>
      <c r="N5" s="600"/>
      <c r="O5" s="599"/>
      <c r="P5" s="599"/>
      <c r="Q5" s="599"/>
      <c r="R5" s="599"/>
      <c r="S5" s="59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</row>
    <row r="6" spans="1:35" ht="16.5" customHeight="1" x14ac:dyDescent="0.3">
      <c r="A6" s="604" t="s">
        <v>379</v>
      </c>
      <c r="B6" s="604"/>
      <c r="C6" s="604"/>
      <c r="D6" s="604"/>
      <c r="E6" s="605"/>
      <c r="F6" s="600"/>
      <c r="G6" s="600"/>
      <c r="H6" s="600"/>
      <c r="I6" s="600"/>
      <c r="J6" s="600"/>
      <c r="K6" s="600"/>
      <c r="L6" s="600"/>
      <c r="M6" s="600"/>
      <c r="N6" s="600"/>
      <c r="O6" s="599"/>
      <c r="P6" s="599"/>
      <c r="Q6" s="599"/>
      <c r="R6" s="599"/>
      <c r="S6" s="59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</row>
    <row r="7" spans="1:35" ht="16.5" customHeight="1" x14ac:dyDescent="0.3">
      <c r="A7" s="604" t="s">
        <v>376</v>
      </c>
      <c r="B7" s="604"/>
      <c r="C7" s="604"/>
      <c r="D7" s="604"/>
      <c r="E7" s="605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</row>
    <row r="8" spans="1:35" ht="16.5" customHeight="1" x14ac:dyDescent="0.3">
      <c r="A8" s="604" t="s">
        <v>377</v>
      </c>
      <c r="B8" s="604"/>
      <c r="C8" s="604"/>
      <c r="D8" s="604"/>
      <c r="E8" s="605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</row>
    <row r="9" spans="1:35" ht="18" customHeight="1" x14ac:dyDescent="0.5">
      <c r="A9" s="604" t="s">
        <v>388</v>
      </c>
      <c r="B9" s="604"/>
      <c r="C9" s="604"/>
      <c r="D9" s="604"/>
      <c r="E9" s="605"/>
      <c r="F9" s="599"/>
      <c r="G9" s="606"/>
      <c r="H9" s="606"/>
      <c r="I9" s="606"/>
      <c r="J9" s="599"/>
      <c r="K9" s="607"/>
      <c r="L9" s="599"/>
      <c r="M9" s="599"/>
      <c r="N9" s="599"/>
      <c r="O9" s="599"/>
      <c r="P9" s="599"/>
      <c r="Q9" s="599"/>
      <c r="R9" s="599"/>
      <c r="S9" s="59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</row>
    <row r="10" spans="1:35" ht="13.5" customHeight="1" x14ac:dyDescent="0.3">
      <c r="A10" s="604" t="s">
        <v>380</v>
      </c>
      <c r="B10" s="604"/>
      <c r="C10" s="604"/>
      <c r="D10" s="604"/>
      <c r="E10" s="605"/>
      <c r="F10" s="599"/>
      <c r="G10" s="606"/>
      <c r="H10" s="606"/>
      <c r="I10" s="606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</row>
    <row r="11" spans="1:35" ht="16.5" customHeight="1" x14ac:dyDescent="0.3">
      <c r="A11" s="604" t="s">
        <v>493</v>
      </c>
      <c r="B11" s="604"/>
      <c r="C11" s="604"/>
      <c r="D11" s="604"/>
      <c r="E11" s="605"/>
      <c r="F11" s="599"/>
      <c r="G11" s="606"/>
      <c r="H11" s="606"/>
      <c r="I11" s="606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</row>
    <row r="12" spans="1:35" ht="16.5" customHeight="1" x14ac:dyDescent="0.3">
      <c r="A12" s="604" t="s">
        <v>381</v>
      </c>
      <c r="B12" s="604"/>
      <c r="C12" s="604"/>
      <c r="D12" s="604"/>
      <c r="E12" s="605"/>
      <c r="F12" s="599"/>
      <c r="G12" s="696" t="s">
        <v>384</v>
      </c>
      <c r="H12" s="696"/>
      <c r="I12" s="606"/>
      <c r="J12" s="599"/>
      <c r="K12" s="599"/>
      <c r="L12" s="599"/>
      <c r="M12" s="599"/>
      <c r="N12" s="599"/>
      <c r="O12" s="599"/>
      <c r="P12" s="599"/>
      <c r="Q12" s="599"/>
      <c r="R12" s="599"/>
      <c r="S12" s="59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</row>
    <row r="13" spans="1:35" ht="16.5" customHeight="1" x14ac:dyDescent="0.3">
      <c r="A13" s="604" t="s">
        <v>382</v>
      </c>
      <c r="B13" s="604"/>
      <c r="C13" s="604"/>
      <c r="D13" s="604"/>
      <c r="E13" s="605"/>
      <c r="F13" s="599"/>
      <c r="G13" s="696" t="s">
        <v>385</v>
      </c>
      <c r="H13" s="696"/>
      <c r="I13" s="606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</row>
    <row r="14" spans="1:35" ht="16.5" customHeight="1" x14ac:dyDescent="0.3">
      <c r="A14" s="604" t="s">
        <v>383</v>
      </c>
      <c r="B14" s="604"/>
      <c r="C14" s="604"/>
      <c r="D14" s="604"/>
      <c r="E14" s="605"/>
      <c r="F14" s="599"/>
      <c r="G14" s="696" t="s">
        <v>386</v>
      </c>
      <c r="H14" s="696"/>
      <c r="I14" s="606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</row>
    <row r="15" spans="1:35" ht="16.5" customHeight="1" x14ac:dyDescent="0.3">
      <c r="A15" s="604" t="s">
        <v>331</v>
      </c>
      <c r="B15" s="604"/>
      <c r="C15" s="604"/>
      <c r="D15" s="604"/>
      <c r="E15" s="605"/>
      <c r="F15" s="599"/>
      <c r="G15" s="696" t="s">
        <v>389</v>
      </c>
      <c r="H15" s="696"/>
      <c r="I15" s="606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</row>
    <row r="16" spans="1:35" ht="17.25" customHeight="1" x14ac:dyDescent="0.3">
      <c r="A16" s="604" t="s">
        <v>226</v>
      </c>
      <c r="B16" s="604"/>
      <c r="C16" s="604"/>
      <c r="D16" s="604"/>
      <c r="E16" s="605"/>
      <c r="F16" s="599"/>
      <c r="G16" s="696" t="s">
        <v>387</v>
      </c>
      <c r="H16" s="696"/>
      <c r="I16" s="696"/>
      <c r="J16" s="696"/>
      <c r="K16" s="599"/>
      <c r="L16" s="599"/>
      <c r="M16" s="599"/>
      <c r="N16" s="599"/>
      <c r="O16" s="599"/>
      <c r="P16" s="599"/>
      <c r="Q16" s="599"/>
      <c r="R16" s="599"/>
      <c r="S16" s="59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</row>
    <row r="17" spans="1:52" ht="20.149999999999999" customHeight="1" x14ac:dyDescent="0.3">
      <c r="A17" s="602"/>
      <c r="B17" s="602"/>
      <c r="C17" s="602"/>
      <c r="D17" s="602"/>
      <c r="E17" s="603"/>
      <c r="F17" s="599"/>
      <c r="G17" s="606"/>
      <c r="H17" s="606"/>
      <c r="I17" s="606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</row>
    <row r="18" spans="1:52" ht="20.149999999999999" customHeight="1" x14ac:dyDescent="0.25">
      <c r="A18" s="599"/>
      <c r="B18" s="599"/>
      <c r="C18" s="599"/>
      <c r="D18" s="599"/>
      <c r="E18" s="608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</row>
    <row r="19" spans="1:52" ht="20.149999999999999" customHeight="1" x14ac:dyDescent="0.25">
      <c r="A19" s="599"/>
      <c r="B19" s="599"/>
      <c r="C19" s="599"/>
      <c r="D19" s="599"/>
      <c r="E19" s="608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</row>
    <row r="20" spans="1:52" ht="20.149999999999999" customHeight="1" x14ac:dyDescent="0.25">
      <c r="A20" s="599"/>
      <c r="B20" s="599"/>
      <c r="C20" s="599"/>
      <c r="D20" s="599"/>
      <c r="E20" s="608"/>
      <c r="F20" s="599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</row>
    <row r="21" spans="1:52" ht="20.149999999999999" customHeight="1" x14ac:dyDescent="0.25">
      <c r="A21" s="609"/>
      <c r="B21" s="609"/>
      <c r="C21" s="609"/>
      <c r="D21" s="609"/>
      <c r="E21" s="610"/>
      <c r="F21" s="599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</row>
    <row r="22" spans="1:52" ht="20.149999999999999" customHeight="1" x14ac:dyDescent="0.25">
      <c r="A22" s="611" t="s">
        <v>439</v>
      </c>
      <c r="B22" s="612"/>
      <c r="C22" s="612"/>
      <c r="D22" s="612"/>
      <c r="E22" s="613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</row>
    <row r="23" spans="1:52" ht="20.149999999999999" customHeight="1" x14ac:dyDescent="0.25">
      <c r="A23" s="614" t="s">
        <v>438</v>
      </c>
      <c r="B23" s="606"/>
      <c r="C23" s="606"/>
      <c r="D23" s="606"/>
      <c r="E23" s="615"/>
      <c r="F23" s="599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</row>
    <row r="24" spans="1:52" ht="20.149999999999999" customHeight="1" x14ac:dyDescent="0.25">
      <c r="A24" s="616" t="s">
        <v>440</v>
      </c>
      <c r="B24" s="617"/>
      <c r="C24" s="617"/>
      <c r="D24" s="617"/>
      <c r="E24" s="618"/>
      <c r="F24" s="599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</row>
    <row r="25" spans="1:52" ht="20.25" customHeight="1" x14ac:dyDescent="0.3">
      <c r="A25" s="619" t="s">
        <v>419</v>
      </c>
      <c r="B25" s="620"/>
      <c r="C25" s="620"/>
      <c r="D25" s="620"/>
      <c r="E25" s="621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</row>
    <row r="26" spans="1:52" ht="21.75" customHeight="1" x14ac:dyDescent="0.3">
      <c r="A26" s="622" t="s">
        <v>530</v>
      </c>
      <c r="B26" s="623"/>
      <c r="C26" s="623"/>
      <c r="D26" s="623"/>
      <c r="E26" s="624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</row>
    <row r="27" spans="1:52" ht="17.25" customHeight="1" x14ac:dyDescent="0.3">
      <c r="A27" s="625" t="s">
        <v>420</v>
      </c>
      <c r="B27" s="626"/>
      <c r="C27" s="626"/>
      <c r="D27" s="626"/>
      <c r="E27" s="627"/>
      <c r="F27" s="628"/>
      <c r="G27" s="599"/>
      <c r="H27" s="599"/>
      <c r="I27" s="599"/>
      <c r="J27" s="599"/>
      <c r="K27" s="599"/>
      <c r="L27" s="599"/>
      <c r="M27" s="599"/>
      <c r="N27" s="599"/>
      <c r="O27" s="599"/>
      <c r="P27" s="599"/>
      <c r="Q27" s="599"/>
      <c r="R27" s="599"/>
      <c r="S27" s="59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</row>
    <row r="28" spans="1:52" ht="51.65" customHeight="1" x14ac:dyDescent="0.65">
      <c r="A28" s="628"/>
      <c r="B28" s="629"/>
      <c r="C28" s="629"/>
      <c r="D28" s="629"/>
      <c r="E28" s="630"/>
      <c r="F28" s="629"/>
      <c r="G28" s="631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</row>
    <row r="29" spans="1:52" ht="3" hidden="1" customHeight="1" x14ac:dyDescent="0.65">
      <c r="A29" s="297"/>
      <c r="B29" s="298"/>
      <c r="C29" s="298"/>
      <c r="D29" s="298"/>
      <c r="E29" s="298"/>
      <c r="F29" s="298"/>
      <c r="G29" s="299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</row>
    <row r="30" spans="1:52" s="109" customFormat="1" ht="2.25" customHeight="1" x14ac:dyDescent="0.65">
      <c r="B30" s="158"/>
      <c r="C30" s="158"/>
      <c r="D30" s="158"/>
      <c r="E30" s="158"/>
      <c r="F30" s="158"/>
      <c r="G30" s="214"/>
    </row>
    <row r="31" spans="1:52" ht="15" hidden="1" customHeight="1" x14ac:dyDescent="0.65">
      <c r="A31" s="26"/>
      <c r="B31" s="27"/>
      <c r="C31" s="27"/>
      <c r="D31" s="27"/>
      <c r="E31" s="27"/>
      <c r="F31" s="27"/>
      <c r="G31" s="77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9"/>
      <c r="T31" s="137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</row>
    <row r="32" spans="1:52" ht="12" customHeight="1" x14ac:dyDescent="0.65">
      <c r="A32" s="30"/>
      <c r="S32" s="31"/>
      <c r="T32" s="137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</row>
    <row r="33" spans="1:52" ht="16.899999999999999" customHeight="1" x14ac:dyDescent="0.65">
      <c r="A33" s="36"/>
      <c r="R33" s="418" t="s">
        <v>531</v>
      </c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</row>
    <row r="34" spans="1:52" ht="18" customHeight="1" x14ac:dyDescent="0.65">
      <c r="J34" s="325" t="s">
        <v>234</v>
      </c>
      <c r="T34" s="109"/>
      <c r="U34" s="133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</row>
    <row r="35" spans="1:52" ht="15" customHeight="1" x14ac:dyDescent="0.65"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</row>
    <row r="36" spans="1:52" ht="15" customHeight="1" x14ac:dyDescent="0.65">
      <c r="T36" s="109"/>
      <c r="U36" s="133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</row>
    <row r="37" spans="1:52" ht="15" customHeight="1" x14ac:dyDescent="0.65">
      <c r="T37" s="109"/>
      <c r="U37" s="133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</row>
    <row r="38" spans="1:52" ht="15" customHeight="1" x14ac:dyDescent="0.65">
      <c r="T38" s="109"/>
      <c r="U38" s="133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</row>
    <row r="39" spans="1:52" ht="15" customHeight="1" x14ac:dyDescent="0.65">
      <c r="T39" s="109"/>
      <c r="U39" s="133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</row>
    <row r="40" spans="1:52" ht="15" customHeight="1" x14ac:dyDescent="0.65">
      <c r="T40" s="109"/>
      <c r="U40" s="133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</row>
    <row r="41" spans="1:52" ht="15" customHeight="1" x14ac:dyDescent="0.65">
      <c r="T41" s="109"/>
      <c r="U41" s="133"/>
      <c r="V41" s="137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</row>
    <row r="42" spans="1:52" ht="15" customHeight="1" x14ac:dyDescent="0.65">
      <c r="T42" s="109"/>
      <c r="U42" s="133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</row>
    <row r="43" spans="1:52" ht="17.25" customHeight="1" x14ac:dyDescent="0.65">
      <c r="N43" s="53" t="s">
        <v>274</v>
      </c>
      <c r="Q43" s="724"/>
      <c r="R43" s="724"/>
      <c r="T43" s="109"/>
      <c r="U43" s="133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</row>
    <row r="44" spans="1:52" ht="9" customHeight="1" x14ac:dyDescent="0.65">
      <c r="T44" s="109"/>
      <c r="U44" s="133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</row>
    <row r="45" spans="1:52" ht="15" customHeight="1" x14ac:dyDescent="0.65">
      <c r="N45" s="53"/>
      <c r="T45" s="109"/>
      <c r="U45" s="133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</row>
    <row r="46" spans="1:52" ht="17.25" customHeight="1" x14ac:dyDescent="0.35">
      <c r="A46" s="53" t="s">
        <v>153</v>
      </c>
      <c r="B46" s="123"/>
      <c r="C46" s="123"/>
      <c r="D46" s="701"/>
      <c r="E46" s="702"/>
      <c r="F46" s="702"/>
      <c r="G46" s="702"/>
      <c r="H46" s="702"/>
      <c r="I46" s="53"/>
      <c r="J46" s="53"/>
      <c r="K46" s="53"/>
      <c r="L46" s="53"/>
      <c r="M46" s="53"/>
      <c r="N46" s="53" t="s">
        <v>154</v>
      </c>
      <c r="O46" s="53"/>
      <c r="P46" s="163"/>
      <c r="Q46" s="701"/>
      <c r="R46" s="702"/>
      <c r="S46" s="53"/>
      <c r="T46" s="109"/>
      <c r="U46" s="133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</row>
    <row r="47" spans="1:52" ht="21" customHeight="1" x14ac:dyDescent="0.35">
      <c r="A47" s="53"/>
      <c r="B47" s="123"/>
      <c r="C47" s="12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213"/>
      <c r="U47" s="133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</row>
    <row r="48" spans="1:52" ht="15.75" customHeight="1" x14ac:dyDescent="0.35">
      <c r="A48" s="53" t="s">
        <v>155</v>
      </c>
      <c r="B48" s="123"/>
      <c r="C48" s="123"/>
      <c r="D48" s="698"/>
      <c r="E48" s="699"/>
      <c r="F48" s="699"/>
      <c r="G48" s="699"/>
      <c r="H48" s="699"/>
      <c r="I48" s="53"/>
      <c r="J48" s="53"/>
      <c r="K48" s="53"/>
      <c r="L48" s="53"/>
      <c r="M48" s="53"/>
      <c r="N48" s="53" t="s">
        <v>156</v>
      </c>
      <c r="O48" s="53"/>
      <c r="P48" s="164"/>
      <c r="Q48" s="701"/>
      <c r="R48" s="702"/>
      <c r="S48" s="53"/>
      <c r="T48" s="213"/>
      <c r="U48" s="133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</row>
    <row r="49" spans="1:52" ht="21" customHeight="1" x14ac:dyDescent="0.35">
      <c r="A49" s="53"/>
      <c r="B49" s="123"/>
      <c r="C49" s="12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213"/>
      <c r="U49" s="133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</row>
    <row r="50" spans="1:52" ht="15.75" customHeight="1" x14ac:dyDescent="0.35">
      <c r="A50" s="236" t="s">
        <v>391</v>
      </c>
      <c r="B50" s="123"/>
      <c r="C50" s="123"/>
      <c r="D50" s="701"/>
      <c r="E50" s="702"/>
      <c r="F50" s="702"/>
      <c r="G50" s="702"/>
      <c r="H50" s="702"/>
      <c r="I50" s="53"/>
      <c r="J50" s="53"/>
      <c r="K50" s="53"/>
      <c r="L50" s="53"/>
      <c r="M50" s="53"/>
      <c r="N50" s="53" t="s">
        <v>157</v>
      </c>
      <c r="O50" s="53"/>
      <c r="P50" s="53"/>
      <c r="Q50" s="702"/>
      <c r="R50" s="702"/>
      <c r="S50" s="53"/>
      <c r="T50" s="213"/>
      <c r="U50" s="133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</row>
    <row r="51" spans="1:52" ht="14.25" customHeight="1" x14ac:dyDescent="0.35">
      <c r="A51" s="53"/>
      <c r="B51" s="123"/>
      <c r="C51" s="123"/>
      <c r="D51" s="123"/>
      <c r="E51" s="123"/>
      <c r="F51" s="123"/>
      <c r="G51" s="123"/>
      <c r="H51" s="53"/>
      <c r="I51" s="53"/>
      <c r="J51" s="53"/>
      <c r="K51" s="53"/>
      <c r="L51" s="53"/>
      <c r="M51" s="53"/>
      <c r="N51" s="53"/>
      <c r="O51" s="53"/>
      <c r="P51" s="53"/>
      <c r="Q51" s="165"/>
      <c r="R51" s="165"/>
      <c r="S51" s="53"/>
      <c r="T51" s="213"/>
      <c r="U51" s="133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</row>
    <row r="52" spans="1:52" ht="15" customHeight="1" x14ac:dyDescent="0.35">
      <c r="A52" s="236" t="s">
        <v>391</v>
      </c>
      <c r="B52" s="123"/>
      <c r="C52" s="123"/>
      <c r="D52" s="699"/>
      <c r="E52" s="699"/>
      <c r="F52" s="699"/>
      <c r="G52" s="699"/>
      <c r="H52" s="699"/>
      <c r="I52" s="53"/>
      <c r="J52" s="53"/>
      <c r="K52" s="53"/>
      <c r="L52" s="53"/>
      <c r="M52" s="53"/>
      <c r="N52" s="53"/>
      <c r="O52" s="53"/>
      <c r="P52" s="53"/>
      <c r="Q52" s="165"/>
      <c r="R52" s="165"/>
      <c r="S52" s="53"/>
      <c r="T52" s="213"/>
      <c r="U52" s="133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</row>
    <row r="53" spans="1:52" ht="15.75" customHeight="1" x14ac:dyDescent="0.35">
      <c r="A53" s="53"/>
      <c r="B53" s="123"/>
      <c r="C53" s="123"/>
      <c r="D53" s="123"/>
      <c r="E53" s="123"/>
      <c r="F53" s="123"/>
      <c r="G53" s="85"/>
      <c r="H53" s="184"/>
      <c r="I53" s="53"/>
      <c r="J53" s="53"/>
      <c r="K53" s="53"/>
      <c r="L53" s="53" t="s">
        <v>219</v>
      </c>
      <c r="M53" s="53"/>
      <c r="N53" s="53"/>
      <c r="O53" s="53"/>
      <c r="P53" s="53"/>
      <c r="Q53" s="692">
        <f>SUM(R102+R136+R173+R252+R296+R340+R379)</f>
        <v>0</v>
      </c>
      <c r="R53" s="692"/>
      <c r="S53" s="53" t="s">
        <v>0</v>
      </c>
      <c r="T53" s="213"/>
      <c r="U53" s="133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</row>
    <row r="54" spans="1:52" ht="15" customHeight="1" x14ac:dyDescent="0.35">
      <c r="A54" s="53"/>
      <c r="B54" s="123"/>
      <c r="C54" s="123"/>
      <c r="D54" s="123"/>
      <c r="E54" s="123"/>
      <c r="F54" s="123"/>
      <c r="G54" s="85"/>
      <c r="H54" s="166"/>
      <c r="I54" s="53"/>
      <c r="J54" s="53"/>
      <c r="K54" s="53"/>
      <c r="L54" s="53"/>
      <c r="M54" s="53"/>
      <c r="N54" s="53"/>
      <c r="O54" s="53"/>
      <c r="P54" s="53"/>
      <c r="Q54" s="53"/>
      <c r="R54" s="123"/>
      <c r="S54" s="53"/>
      <c r="T54" s="213"/>
      <c r="U54" s="133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</row>
    <row r="55" spans="1:52" ht="15.75" customHeight="1" x14ac:dyDescent="0.35">
      <c r="A55" s="53"/>
      <c r="B55" s="123"/>
      <c r="C55" s="123"/>
      <c r="D55" s="123"/>
      <c r="E55" s="123"/>
      <c r="F55" s="123"/>
      <c r="G55" s="85"/>
      <c r="H55" s="184"/>
      <c r="I55" s="53"/>
      <c r="J55" s="53"/>
      <c r="K55" s="53"/>
      <c r="L55" s="53" t="s">
        <v>332</v>
      </c>
      <c r="M55" s="53"/>
      <c r="N55" s="53"/>
      <c r="O55" s="53"/>
      <c r="P55" s="53"/>
      <c r="Q55" s="692">
        <f>SUM(R412+R454+R499)</f>
        <v>0</v>
      </c>
      <c r="R55" s="692"/>
      <c r="S55" s="53" t="s">
        <v>0</v>
      </c>
      <c r="T55" s="213"/>
      <c r="U55" s="133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</row>
    <row r="56" spans="1:52" ht="14.25" customHeight="1" x14ac:dyDescent="0.35">
      <c r="A56" s="53"/>
      <c r="B56" s="123"/>
      <c r="C56" s="123"/>
      <c r="D56" s="123"/>
      <c r="E56" s="123"/>
      <c r="F56" s="123"/>
      <c r="G56" s="85"/>
      <c r="H56" s="166"/>
      <c r="I56" s="53"/>
      <c r="J56" s="53"/>
      <c r="K56" s="53"/>
      <c r="L56" s="53"/>
      <c r="M56" s="53"/>
      <c r="N56" s="53"/>
      <c r="O56" s="53"/>
      <c r="P56" s="53"/>
      <c r="Q56" s="53"/>
      <c r="R56" s="186"/>
      <c r="S56" s="53"/>
      <c r="T56" s="213"/>
      <c r="U56" s="133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</row>
    <row r="57" spans="1:52" ht="15" customHeight="1" x14ac:dyDescent="0.35">
      <c r="A57" s="53"/>
      <c r="B57" s="123" t="s">
        <v>227</v>
      </c>
      <c r="C57" s="123"/>
      <c r="D57" s="123"/>
      <c r="E57" s="123"/>
      <c r="F57" s="123"/>
      <c r="G57" s="85"/>
      <c r="H57" s="166"/>
      <c r="I57" s="53"/>
      <c r="J57" s="53"/>
      <c r="K57" s="53"/>
      <c r="L57" s="53"/>
      <c r="M57" s="53"/>
      <c r="N57" s="53"/>
      <c r="O57" s="53"/>
      <c r="P57" s="53"/>
      <c r="Q57" s="53"/>
      <c r="R57" s="186"/>
      <c r="S57" s="53"/>
      <c r="T57" s="213"/>
      <c r="U57" s="133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</row>
    <row r="58" spans="1:52" ht="15" customHeight="1" x14ac:dyDescent="0.35">
      <c r="A58" s="53"/>
      <c r="B58" s="123"/>
      <c r="C58" s="123"/>
      <c r="D58" s="163"/>
      <c r="E58" s="163"/>
      <c r="F58" s="163"/>
      <c r="G58" s="85"/>
      <c r="H58" s="184"/>
      <c r="I58" s="53"/>
      <c r="J58" s="53"/>
      <c r="K58" s="53"/>
      <c r="L58" s="53" t="s">
        <v>331</v>
      </c>
      <c r="M58" s="53"/>
      <c r="N58" s="53"/>
      <c r="O58" s="53"/>
      <c r="P58" s="53"/>
      <c r="Q58" s="692">
        <f>SUM(R540)</f>
        <v>0</v>
      </c>
      <c r="R58" s="692"/>
      <c r="S58" s="53" t="s">
        <v>0</v>
      </c>
      <c r="T58" s="213"/>
      <c r="U58" s="133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</row>
    <row r="59" spans="1:52" ht="15" customHeight="1" x14ac:dyDescent="0.35">
      <c r="A59" s="53"/>
      <c r="B59" s="123" t="s">
        <v>153</v>
      </c>
      <c r="C59" s="123"/>
      <c r="D59" s="319"/>
      <c r="E59" s="319"/>
      <c r="F59" s="319"/>
      <c r="G59" s="85"/>
      <c r="H59" s="166"/>
      <c r="I59" s="53"/>
      <c r="J59" s="53"/>
      <c r="K59" s="53"/>
      <c r="L59" s="53"/>
      <c r="M59" s="53"/>
      <c r="N59" s="53"/>
      <c r="O59" s="53"/>
      <c r="P59" s="53"/>
      <c r="Q59" s="53"/>
      <c r="R59" s="186"/>
      <c r="S59" s="53"/>
      <c r="T59" s="213"/>
      <c r="U59" s="133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</row>
    <row r="60" spans="1:52" ht="15" customHeight="1" x14ac:dyDescent="0.35">
      <c r="A60" s="53"/>
      <c r="B60" s="123"/>
      <c r="C60" s="123"/>
      <c r="D60" s="163"/>
      <c r="E60" s="163"/>
      <c r="F60" s="163"/>
      <c r="G60" s="85"/>
      <c r="H60" s="184"/>
      <c r="I60" s="53"/>
      <c r="J60" s="53"/>
      <c r="K60" s="53"/>
      <c r="L60" s="53" t="s">
        <v>226</v>
      </c>
      <c r="M60" s="53"/>
      <c r="N60" s="53"/>
      <c r="O60" s="53"/>
      <c r="P60" s="53"/>
      <c r="Q60" s="692">
        <f>SUM(R582)</f>
        <v>0</v>
      </c>
      <c r="R60" s="692"/>
      <c r="S60" s="53" t="s">
        <v>0</v>
      </c>
      <c r="T60" s="213"/>
      <c r="U60" s="133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</row>
    <row r="61" spans="1:52" ht="13.5" customHeight="1" x14ac:dyDescent="0.35">
      <c r="A61" s="53"/>
      <c r="B61" s="123" t="s">
        <v>228</v>
      </c>
      <c r="C61" s="123"/>
      <c r="D61" s="319"/>
      <c r="E61" s="319"/>
      <c r="F61" s="319"/>
      <c r="G61" s="85"/>
      <c r="H61" s="166"/>
      <c r="I61" s="53"/>
      <c r="J61" s="53"/>
      <c r="K61" s="53"/>
      <c r="L61" s="53"/>
      <c r="M61" s="53"/>
      <c r="N61" s="53"/>
      <c r="O61" s="53"/>
      <c r="P61" s="53"/>
      <c r="Q61" s="53"/>
      <c r="R61" s="186"/>
      <c r="S61" s="53"/>
      <c r="T61" s="213"/>
      <c r="U61" s="133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</row>
    <row r="62" spans="1:52" ht="15.75" customHeight="1" x14ac:dyDescent="0.35">
      <c r="A62" s="53"/>
      <c r="B62" s="123"/>
      <c r="C62" s="123"/>
      <c r="D62" s="123"/>
      <c r="E62" s="123"/>
      <c r="F62" s="123"/>
      <c r="G62" s="85"/>
      <c r="H62" s="166"/>
      <c r="I62" s="53"/>
      <c r="J62" s="53"/>
      <c r="K62" s="53"/>
      <c r="L62" s="576" t="s">
        <v>481</v>
      </c>
      <c r="O62" s="577"/>
      <c r="Q62" s="692">
        <f>SUM(Q53+Q55+Q58)*O62</f>
        <v>0</v>
      </c>
      <c r="R62" s="692"/>
      <c r="S62" s="236" t="s">
        <v>0</v>
      </c>
      <c r="T62" s="213"/>
      <c r="U62" s="133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</row>
    <row r="63" spans="1:52" ht="18.75" customHeight="1" x14ac:dyDescent="0.35">
      <c r="A63" s="53"/>
      <c r="B63" s="123"/>
      <c r="C63" s="123"/>
      <c r="D63" s="123"/>
      <c r="E63" s="123"/>
      <c r="F63" s="123"/>
      <c r="G63" s="85"/>
      <c r="H63" s="184"/>
      <c r="I63" s="325"/>
      <c r="J63" s="53"/>
      <c r="K63" s="53"/>
      <c r="L63" s="53" t="s">
        <v>221</v>
      </c>
      <c r="M63" s="53"/>
      <c r="N63" s="53"/>
      <c r="O63" s="53"/>
      <c r="P63" s="53"/>
      <c r="Q63" s="693">
        <f>SUM(Q53+Q55+Q58+Q60+Q62)</f>
        <v>0</v>
      </c>
      <c r="R63" s="693"/>
      <c r="S63" s="53" t="s">
        <v>0</v>
      </c>
      <c r="T63" s="213"/>
      <c r="U63" s="133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</row>
    <row r="64" spans="1:52" ht="18.75" customHeight="1" x14ac:dyDescent="0.35">
      <c r="A64" s="392"/>
      <c r="B64" s="123"/>
      <c r="C64" s="123"/>
      <c r="D64" s="123"/>
      <c r="E64" s="123"/>
      <c r="F64" s="123"/>
      <c r="G64" s="12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184"/>
      <c r="S64" s="53"/>
      <c r="T64" s="213"/>
      <c r="U64" s="133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</row>
    <row r="65" spans="1:52" ht="18" customHeight="1" x14ac:dyDescent="0.35">
      <c r="A65" s="53"/>
      <c r="B65" s="123"/>
      <c r="C65" s="123"/>
      <c r="D65" s="123"/>
      <c r="E65" s="123"/>
      <c r="F65" s="123"/>
      <c r="G65" s="12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213"/>
      <c r="U65" s="133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</row>
    <row r="66" spans="1:52" ht="17.25" customHeight="1" x14ac:dyDescent="0.35">
      <c r="A66" s="53"/>
      <c r="B66" s="123"/>
      <c r="C66" s="123"/>
      <c r="D66" s="123"/>
      <c r="E66" s="123"/>
      <c r="F66" s="123"/>
      <c r="G66" s="12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213"/>
      <c r="U66" s="133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</row>
    <row r="67" spans="1:52" ht="17.25" customHeight="1" x14ac:dyDescent="0.35">
      <c r="A67" s="53"/>
      <c r="B67" s="123"/>
      <c r="C67" s="123"/>
      <c r="D67" s="123"/>
      <c r="E67" s="123"/>
      <c r="F67" s="123"/>
      <c r="G67" s="12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213"/>
      <c r="U67" s="133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</row>
    <row r="68" spans="1:52" ht="0.75" customHeight="1" x14ac:dyDescent="0.65">
      <c r="T68" s="213"/>
      <c r="U68" s="133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</row>
    <row r="69" spans="1:52" ht="20.25" customHeight="1" x14ac:dyDescent="0.65">
      <c r="A69" s="35" t="s">
        <v>240</v>
      </c>
      <c r="B69" s="36"/>
      <c r="C69" s="35" t="s">
        <v>524</v>
      </c>
      <c r="D69" s="36"/>
      <c r="E69" s="4"/>
      <c r="F69" s="4"/>
      <c r="H69" s="4"/>
      <c r="I69" s="4"/>
      <c r="J69" s="329" t="s">
        <v>234</v>
      </c>
      <c r="N69" s="3"/>
      <c r="P69" s="3"/>
      <c r="Q69" s="36"/>
      <c r="R69" s="143"/>
      <c r="S69" s="3"/>
      <c r="T69" s="213"/>
      <c r="U69" s="133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</row>
    <row r="70" spans="1:52" ht="18.75" customHeight="1" x14ac:dyDescent="0.65">
      <c r="A70" s="3"/>
      <c r="B70" s="3"/>
      <c r="C70" s="3"/>
      <c r="D70" s="3"/>
      <c r="E70" s="4"/>
      <c r="F70" s="4"/>
      <c r="H70" s="4"/>
      <c r="I70" s="4"/>
      <c r="J70" s="4"/>
      <c r="K70" s="3"/>
      <c r="L70" s="3"/>
      <c r="M70" s="3"/>
      <c r="N70" s="3"/>
      <c r="O70" s="3"/>
      <c r="P70" s="3"/>
      <c r="Q70" s="3"/>
      <c r="R70" s="3"/>
      <c r="S70" s="3"/>
      <c r="T70" s="137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</row>
    <row r="71" spans="1:52" ht="15" hidden="1" customHeight="1" x14ac:dyDescent="0.65">
      <c r="A71" s="3"/>
      <c r="B71" s="5"/>
      <c r="C71" s="5"/>
      <c r="D71" s="5"/>
      <c r="E71" s="4"/>
      <c r="F71" s="4"/>
      <c r="H71" s="4"/>
      <c r="I71" s="4"/>
      <c r="J71" s="4"/>
      <c r="K71" s="3"/>
      <c r="L71" s="3"/>
      <c r="M71" s="3"/>
      <c r="N71" s="3"/>
      <c r="O71" s="3"/>
      <c r="P71" s="3"/>
      <c r="T71" s="137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</row>
    <row r="72" spans="1:52" ht="24" customHeight="1" x14ac:dyDescent="0.65">
      <c r="A72" s="745" t="s">
        <v>448</v>
      </c>
      <c r="B72" s="6"/>
      <c r="C72" s="152">
        <v>1</v>
      </c>
      <c r="D72" s="321"/>
      <c r="E72" s="152"/>
      <c r="F72" s="152">
        <v>2</v>
      </c>
      <c r="G72" s="153"/>
      <c r="H72" s="322"/>
      <c r="I72" s="152">
        <v>3</v>
      </c>
      <c r="J72" s="321"/>
      <c r="K72" s="152"/>
      <c r="L72" s="152">
        <v>4</v>
      </c>
      <c r="M72" s="152"/>
      <c r="N72" s="322"/>
      <c r="O72" s="152">
        <v>5</v>
      </c>
      <c r="P72" s="321"/>
      <c r="Q72" s="152"/>
      <c r="R72" s="154">
        <v>6</v>
      </c>
      <c r="S72" s="10"/>
      <c r="T72" s="137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</row>
    <row r="73" spans="1:52" ht="15" customHeight="1" x14ac:dyDescent="0.65">
      <c r="A73" s="746"/>
      <c r="B73" s="431"/>
      <c r="C73" s="32"/>
      <c r="D73" s="433"/>
      <c r="E73" s="32" t="s">
        <v>52</v>
      </c>
      <c r="F73" s="32"/>
      <c r="G73" s="94"/>
      <c r="H73" s="431" t="s">
        <v>53</v>
      </c>
      <c r="I73" s="32"/>
      <c r="J73" s="433"/>
      <c r="K73" s="32"/>
      <c r="L73" s="32"/>
      <c r="M73" s="32"/>
      <c r="N73" s="431"/>
      <c r="O73" s="32"/>
      <c r="P73" s="433"/>
      <c r="Q73" s="32"/>
      <c r="R73" s="16"/>
      <c r="S73" s="65"/>
      <c r="T73" s="137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</row>
    <row r="74" spans="1:52" ht="15" customHeight="1" x14ac:dyDescent="0.25">
      <c r="A74" s="4" t="s">
        <v>38</v>
      </c>
      <c r="B74" s="431" t="s">
        <v>0</v>
      </c>
      <c r="C74" s="32" t="s">
        <v>152</v>
      </c>
      <c r="D74" s="433" t="s">
        <v>0</v>
      </c>
      <c r="E74" s="32" t="s">
        <v>0</v>
      </c>
      <c r="F74" s="32" t="s">
        <v>152</v>
      </c>
      <c r="G74" s="95" t="s">
        <v>0</v>
      </c>
      <c r="H74" s="431" t="s">
        <v>0</v>
      </c>
      <c r="I74" s="32" t="s">
        <v>152</v>
      </c>
      <c r="J74" s="433" t="s">
        <v>0</v>
      </c>
      <c r="K74" s="32" t="s">
        <v>0</v>
      </c>
      <c r="L74" s="32" t="s">
        <v>158</v>
      </c>
      <c r="M74" s="32" t="s">
        <v>0</v>
      </c>
      <c r="N74" s="431" t="s">
        <v>0</v>
      </c>
      <c r="O74" s="32" t="s">
        <v>158</v>
      </c>
      <c r="P74" s="433" t="s">
        <v>0</v>
      </c>
      <c r="Q74" s="32" t="s">
        <v>0</v>
      </c>
      <c r="R74" s="16" t="s">
        <v>158</v>
      </c>
      <c r="S74" s="393" t="s">
        <v>0</v>
      </c>
      <c r="T74" s="137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</row>
    <row r="75" spans="1:52" ht="15" customHeight="1" x14ac:dyDescent="0.25">
      <c r="A75" s="219">
        <v>-125</v>
      </c>
      <c r="B75" s="368">
        <v>0.18</v>
      </c>
      <c r="C75" s="303">
        <f>SUM('Pyöreät kanavat ja osat'!Q9)</f>
        <v>0</v>
      </c>
      <c r="D75" s="368">
        <f>SUM(C75*0.18)</f>
        <v>0</v>
      </c>
      <c r="E75" s="368">
        <v>0.37</v>
      </c>
      <c r="F75" s="303">
        <f>SUM('Pyöreät kanavat ja osat'!Q26)</f>
        <v>0</v>
      </c>
      <c r="G75" s="368">
        <f>SUM(F75*0.37)</f>
        <v>0</v>
      </c>
      <c r="H75" s="368">
        <v>0.57999999999999996</v>
      </c>
      <c r="I75" s="303">
        <f>SUM('Pyöreät kanavat ja osat'!Q43)</f>
        <v>0</v>
      </c>
      <c r="J75" s="368">
        <f>SUM(I75*0.58)</f>
        <v>0</v>
      </c>
      <c r="K75" s="368">
        <v>0.18</v>
      </c>
      <c r="L75" s="177">
        <f>SUM('Pyöreät kanavat ja osat'!Q57)</f>
        <v>0</v>
      </c>
      <c r="M75" s="368">
        <f>SUM(L75*0.18)</f>
        <v>0</v>
      </c>
      <c r="N75" s="368">
        <v>0.48</v>
      </c>
      <c r="O75" s="177">
        <f>SUM('Pyöreät kanavat ja osat'!Q71)</f>
        <v>0</v>
      </c>
      <c r="P75" s="368">
        <f>SUM(O75*0.48)</f>
        <v>0</v>
      </c>
      <c r="Q75" s="368">
        <v>1.98</v>
      </c>
      <c r="R75" s="179">
        <f>SUM('Pyöreät kanavat ja osat'!Q85)</f>
        <v>0</v>
      </c>
      <c r="S75" s="97">
        <f>SUM(R75*1.98)</f>
        <v>0</v>
      </c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</row>
    <row r="76" spans="1:52" ht="15" customHeight="1" x14ac:dyDescent="0.25">
      <c r="A76" s="219">
        <v>-200</v>
      </c>
      <c r="B76" s="368">
        <v>0.21</v>
      </c>
      <c r="C76" s="303">
        <f>SUM('Pyöreät kanavat ja osat'!Q10)</f>
        <v>0</v>
      </c>
      <c r="D76" s="368">
        <f>SUM(C76*0.21)</f>
        <v>0</v>
      </c>
      <c r="E76" s="368">
        <v>0.4</v>
      </c>
      <c r="F76" s="303">
        <f>SUM('Pyöreät kanavat ja osat'!Q27)</f>
        <v>0</v>
      </c>
      <c r="G76" s="368">
        <f>SUM(F76*0.4)</f>
        <v>0</v>
      </c>
      <c r="H76" s="368">
        <v>0.63</v>
      </c>
      <c r="I76" s="303">
        <f>SUM('Pyöreät kanavat ja osat'!Q44)</f>
        <v>0</v>
      </c>
      <c r="J76" s="368">
        <f>SUM(I76*0.63)</f>
        <v>0</v>
      </c>
      <c r="K76" s="368">
        <v>0.3</v>
      </c>
      <c r="L76" s="177">
        <f>SUM('Pyöreät kanavat ja osat'!Q58)</f>
        <v>0</v>
      </c>
      <c r="M76" s="368">
        <f>SUM(L76*0.3)</f>
        <v>0</v>
      </c>
      <c r="N76" s="368">
        <v>0.53</v>
      </c>
      <c r="O76" s="177">
        <f>SUM('Pyöreät kanavat ja osat'!Q72)</f>
        <v>0</v>
      </c>
      <c r="P76" s="368">
        <f>SUM(O76*0.53)</f>
        <v>0</v>
      </c>
      <c r="Q76" s="368">
        <v>1.98</v>
      </c>
      <c r="R76" s="179">
        <f>SUM('Pyöreät kanavat ja osat'!Q86)</f>
        <v>0</v>
      </c>
      <c r="S76" s="97">
        <f>SUM(R76*1.98)</f>
        <v>0</v>
      </c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</row>
    <row r="77" spans="1:52" ht="15" customHeight="1" x14ac:dyDescent="0.25">
      <c r="A77" s="219">
        <v>250</v>
      </c>
      <c r="B77" s="368">
        <v>0.25</v>
      </c>
      <c r="C77" s="303">
        <f>SUM('Pyöreät kanavat ja osat'!Q11)</f>
        <v>0</v>
      </c>
      <c r="D77" s="368">
        <f>SUM(C77*0.25)</f>
        <v>0</v>
      </c>
      <c r="E77" s="368">
        <v>0.48</v>
      </c>
      <c r="F77" s="303">
        <f>SUM('Pyöreät kanavat ja osat'!Q28)</f>
        <v>0</v>
      </c>
      <c r="G77" s="368">
        <f>SUM(F77*0.48)</f>
        <v>0</v>
      </c>
      <c r="H77" s="368">
        <v>0.75</v>
      </c>
      <c r="I77" s="303">
        <f>SUM('Pyöreät kanavat ja osat'!Q45)</f>
        <v>0</v>
      </c>
      <c r="J77" s="368">
        <f>SUM(I77*0.75)</f>
        <v>0</v>
      </c>
      <c r="K77" s="368">
        <v>0.35</v>
      </c>
      <c r="L77" s="177">
        <f>SUM('Pyöreät kanavat ja osat'!Q59)</f>
        <v>0</v>
      </c>
      <c r="M77" s="368">
        <f>SUM(L77*0.35)</f>
        <v>0</v>
      </c>
      <c r="N77" s="368">
        <v>0.57999999999999996</v>
      </c>
      <c r="O77" s="177">
        <f>SUM('Pyöreät kanavat ja osat'!Q73)</f>
        <v>0</v>
      </c>
      <c r="P77" s="368">
        <f>SUM(O77*0.58)</f>
        <v>0</v>
      </c>
      <c r="Q77" s="368">
        <v>1.98</v>
      </c>
      <c r="R77" s="179">
        <f>SUM('Pyöreät kanavat ja osat'!Q87)</f>
        <v>0</v>
      </c>
      <c r="S77" s="97">
        <f>SUM(R77*1.98)</f>
        <v>0</v>
      </c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</row>
    <row r="78" spans="1:52" ht="15" customHeight="1" x14ac:dyDescent="0.25">
      <c r="A78" s="219">
        <v>315</v>
      </c>
      <c r="B78" s="368">
        <v>0.28000000000000003</v>
      </c>
      <c r="C78" s="303">
        <f>SUM('Pyöreät kanavat ja osat'!Q12)</f>
        <v>0</v>
      </c>
      <c r="D78" s="368">
        <f>SUM(C78*0.28)</f>
        <v>0</v>
      </c>
      <c r="E78" s="368">
        <v>0.6</v>
      </c>
      <c r="F78" s="303">
        <f>SUM('Pyöreät kanavat ja osat'!Q29)</f>
        <v>0</v>
      </c>
      <c r="G78" s="368">
        <f>SUM(F78*0.6)</f>
        <v>0</v>
      </c>
      <c r="H78" s="368">
        <v>0.93</v>
      </c>
      <c r="I78" s="303">
        <f>SUM('Pyöreät kanavat ja osat'!Q46)</f>
        <v>0</v>
      </c>
      <c r="J78" s="368">
        <f>SUM(I78*0.93)</f>
        <v>0</v>
      </c>
      <c r="K78" s="368">
        <v>0.44</v>
      </c>
      <c r="L78" s="177">
        <f>SUM('Pyöreät kanavat ja osat'!Q60)</f>
        <v>0</v>
      </c>
      <c r="M78" s="368">
        <f>SUM(L78*0.44)</f>
        <v>0</v>
      </c>
      <c r="N78" s="368">
        <v>0.75</v>
      </c>
      <c r="O78" s="177">
        <f>SUM('Pyöreät kanavat ja osat'!Q74)</f>
        <v>0</v>
      </c>
      <c r="P78" s="368">
        <f>SUM(O78*0.75)</f>
        <v>0</v>
      </c>
      <c r="Q78" s="368">
        <v>1.98</v>
      </c>
      <c r="R78" s="179">
        <f>SUM('Pyöreät kanavat ja osat'!Q88)</f>
        <v>0</v>
      </c>
      <c r="S78" s="97">
        <f>SUM(R78*1.98)</f>
        <v>0</v>
      </c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</row>
    <row r="79" spans="1:52" ht="15" customHeight="1" x14ac:dyDescent="0.25">
      <c r="A79" s="219">
        <v>400</v>
      </c>
      <c r="B79" s="368">
        <v>0.32</v>
      </c>
      <c r="C79" s="303">
        <f>SUM('Pyöreät kanavat ja osat'!Q13)</f>
        <v>0</v>
      </c>
      <c r="D79" s="368">
        <f>SUM(C79*0.32)</f>
        <v>0</v>
      </c>
      <c r="E79" s="368">
        <v>0.68</v>
      </c>
      <c r="F79" s="303">
        <f>SUM('Pyöreät kanavat ja osat'!Q30)</f>
        <v>0</v>
      </c>
      <c r="G79" s="368">
        <f>SUM(F79*0.68)</f>
        <v>0</v>
      </c>
      <c r="H79" s="368">
        <v>1.06</v>
      </c>
      <c r="I79" s="303">
        <f>SUM('Pyöreät kanavat ja osat'!Q47)</f>
        <v>0</v>
      </c>
      <c r="J79" s="368">
        <f>SUM(I79*1.06)</f>
        <v>0</v>
      </c>
      <c r="K79" s="368">
        <v>0.53</v>
      </c>
      <c r="L79" s="177">
        <f>SUM('Pyöreät kanavat ja osat'!Q61)</f>
        <v>0</v>
      </c>
      <c r="M79" s="368">
        <f>SUM(L79*0.53)</f>
        <v>0</v>
      </c>
      <c r="N79" s="368">
        <v>0.96</v>
      </c>
      <c r="O79" s="177">
        <f>SUM('Pyöreät kanavat ja osat'!Q75)</f>
        <v>0</v>
      </c>
      <c r="P79" s="368">
        <f>SUM(O79*0.96)</f>
        <v>0</v>
      </c>
      <c r="Q79" s="368">
        <v>2.84</v>
      </c>
      <c r="R79" s="179">
        <f>SUM('Pyöreät kanavat ja osat'!Q89)</f>
        <v>0</v>
      </c>
      <c r="S79" s="97">
        <f>SUM(R79*2.84)</f>
        <v>0</v>
      </c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</row>
    <row r="80" spans="1:52" ht="15" customHeight="1" x14ac:dyDescent="0.25">
      <c r="A80" s="219">
        <v>500</v>
      </c>
      <c r="B80" s="368">
        <v>0.41</v>
      </c>
      <c r="C80" s="303">
        <f>SUM('Pyöreät kanavat ja osat'!Q14)</f>
        <v>0</v>
      </c>
      <c r="D80" s="368">
        <f>SUM(C80*0.41)</f>
        <v>0</v>
      </c>
      <c r="E80" s="368">
        <v>0.84</v>
      </c>
      <c r="F80" s="303">
        <f>SUM('Pyöreät kanavat ja osat'!Q31)</f>
        <v>0</v>
      </c>
      <c r="G80" s="368">
        <f>SUM(F80*0.84)</f>
        <v>0</v>
      </c>
      <c r="H80" s="368">
        <v>1.34</v>
      </c>
      <c r="I80" s="303">
        <f>SUM('Pyöreät kanavat ja osat'!Q48)</f>
        <v>0</v>
      </c>
      <c r="J80" s="368">
        <f>SUM(I80*1.34)</f>
        <v>0</v>
      </c>
      <c r="K80" s="368">
        <v>0.67</v>
      </c>
      <c r="L80" s="177">
        <f>SUM('Pyöreät kanavat ja osat'!Q62)</f>
        <v>0</v>
      </c>
      <c r="M80" s="368">
        <f>SUM(L80*0.67)</f>
        <v>0</v>
      </c>
      <c r="N80" s="368">
        <v>1.03</v>
      </c>
      <c r="O80" s="177">
        <f>SUM('Pyöreät kanavat ja osat'!Q76)</f>
        <v>0</v>
      </c>
      <c r="P80" s="368">
        <f>SUM(O80*1.03)</f>
        <v>0</v>
      </c>
      <c r="Q80" s="368">
        <v>2.84</v>
      </c>
      <c r="R80" s="179">
        <f>SUM('Pyöreät kanavat ja osat'!Q90)</f>
        <v>0</v>
      </c>
      <c r="S80" s="97">
        <f>SUM(R80*2.84)</f>
        <v>0</v>
      </c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</row>
    <row r="81" spans="1:52" ht="15" customHeight="1" x14ac:dyDescent="0.25">
      <c r="A81" s="219">
        <v>630</v>
      </c>
      <c r="B81" s="368">
        <v>0.54</v>
      </c>
      <c r="C81" s="303">
        <f>SUM('Pyöreät kanavat ja osat'!Q15)</f>
        <v>0</v>
      </c>
      <c r="D81" s="368">
        <f>SUM(C81*0.54)</f>
        <v>0</v>
      </c>
      <c r="E81" s="368">
        <v>1.08</v>
      </c>
      <c r="F81" s="303">
        <f>SUM('Pyöreät kanavat ja osat'!Q32)</f>
        <v>0</v>
      </c>
      <c r="G81" s="368">
        <f>SUM(F81*1.08)</f>
        <v>0</v>
      </c>
      <c r="H81" s="368">
        <v>1.69</v>
      </c>
      <c r="I81" s="303">
        <f>SUM('Pyöreät kanavat ja osat'!Q49)</f>
        <v>0</v>
      </c>
      <c r="J81" s="368">
        <f>SUM(I81*1.69)</f>
        <v>0</v>
      </c>
      <c r="K81" s="368">
        <v>0.8</v>
      </c>
      <c r="L81" s="177">
        <f>SUM('Pyöreät kanavat ja osat'!Q63)</f>
        <v>0</v>
      </c>
      <c r="M81" s="368">
        <f>SUM(L81*0.8)</f>
        <v>0</v>
      </c>
      <c r="N81" s="368">
        <v>1.46</v>
      </c>
      <c r="O81" s="177">
        <f>SUM('Pyöreät kanavat ja osat'!Q77)</f>
        <v>0</v>
      </c>
      <c r="P81" s="368">
        <f>SUM(O81*1.46)</f>
        <v>0</v>
      </c>
      <c r="Q81" s="368">
        <v>2.84</v>
      </c>
      <c r="R81" s="179">
        <f>SUM('Pyöreät kanavat ja osat'!Q91)</f>
        <v>0</v>
      </c>
      <c r="S81" s="97">
        <f>SUM(R81*2.84)</f>
        <v>0</v>
      </c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</row>
    <row r="82" spans="1:52" ht="15" customHeight="1" x14ac:dyDescent="0.25">
      <c r="A82" s="224">
        <v>800</v>
      </c>
      <c r="B82" s="368">
        <v>0.6</v>
      </c>
      <c r="C82" s="303">
        <f>SUM('Pyöreät kanavat ja osat'!Q16)</f>
        <v>0</v>
      </c>
      <c r="D82" s="368">
        <f>SUM(C82*0.6)</f>
        <v>0</v>
      </c>
      <c r="E82" s="368">
        <v>1.3</v>
      </c>
      <c r="F82" s="303">
        <f>SUM('Pyöreät kanavat ja osat'!Q33)</f>
        <v>0</v>
      </c>
      <c r="G82" s="368">
        <f>SUM(F82*1.3)</f>
        <v>0</v>
      </c>
      <c r="H82" s="368">
        <v>2.04</v>
      </c>
      <c r="I82" s="303">
        <f>SUM('Pyöreät kanavat ja osat'!Q50)</f>
        <v>0</v>
      </c>
      <c r="J82" s="368">
        <f>SUM(I82*2.04)</f>
        <v>0</v>
      </c>
      <c r="K82" s="368">
        <v>1.07</v>
      </c>
      <c r="L82" s="177">
        <f>SUM('Pyöreät kanavat ja osat'!Q64)</f>
        <v>0</v>
      </c>
      <c r="M82" s="368">
        <f>SUM(L82*1.07)</f>
        <v>0</v>
      </c>
      <c r="N82" s="368">
        <v>1.98</v>
      </c>
      <c r="O82" s="177">
        <f>SUM('Pyöreät kanavat ja osat'!Q78)</f>
        <v>0</v>
      </c>
      <c r="P82" s="368">
        <f>SUM(O82*1.98)</f>
        <v>0</v>
      </c>
      <c r="Q82" s="368">
        <v>3.97</v>
      </c>
      <c r="R82" s="179">
        <f>SUM('Pyöreät kanavat ja osat'!Q92)</f>
        <v>0</v>
      </c>
      <c r="S82" s="97">
        <f>SUM(R82*3.97)</f>
        <v>0</v>
      </c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</row>
    <row r="83" spans="1:52" ht="15.75" customHeight="1" x14ac:dyDescent="0.25">
      <c r="A83" s="219">
        <v>1000</v>
      </c>
      <c r="B83" s="368">
        <v>1.02</v>
      </c>
      <c r="C83" s="303">
        <f>SUM('Pyöreät kanavat ja osat'!Q17)</f>
        <v>0</v>
      </c>
      <c r="D83" s="368">
        <f>SUM(C83*1.02)</f>
        <v>0</v>
      </c>
      <c r="E83" s="368">
        <v>1.6</v>
      </c>
      <c r="F83" s="303">
        <f>SUM('Pyöreät kanavat ja osat'!Q34)</f>
        <v>0</v>
      </c>
      <c r="G83" s="368">
        <f>SUM(F83*1.6)</f>
        <v>0</v>
      </c>
      <c r="H83" s="368">
        <v>2.48</v>
      </c>
      <c r="I83" s="303">
        <f>SUM('Pyöreät kanavat ja osat'!Q51)</f>
        <v>0</v>
      </c>
      <c r="J83" s="368">
        <f>SUM(I83*2.48)</f>
        <v>0</v>
      </c>
      <c r="K83" s="368">
        <v>1.34</v>
      </c>
      <c r="L83" s="177">
        <f>SUM('Pyöreät kanavat ja osat'!Q65)</f>
        <v>0</v>
      </c>
      <c r="M83" s="368">
        <f>SUM(L83*1.34)</f>
        <v>0</v>
      </c>
      <c r="N83" s="368">
        <v>2.65</v>
      </c>
      <c r="O83" s="177">
        <f>SUM('Pyöreät kanavat ja osat'!Q79)</f>
        <v>0</v>
      </c>
      <c r="P83" s="368">
        <f>SUM(O83*2.65)</f>
        <v>0</v>
      </c>
      <c r="Q83" s="368">
        <v>3.97</v>
      </c>
      <c r="R83" s="179">
        <f>SUM('Pyöreät kanavat ja osat'!Q93)</f>
        <v>0</v>
      </c>
      <c r="S83" s="97">
        <f>SUM(R83*3.97)</f>
        <v>0</v>
      </c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</row>
    <row r="84" spans="1:52" ht="14.25" customHeight="1" x14ac:dyDescent="0.25">
      <c r="A84" s="219">
        <v>1250</v>
      </c>
      <c r="B84" s="368">
        <v>1.34</v>
      </c>
      <c r="C84" s="303">
        <f>SUM('Pyöreät kanavat ja osat'!Q18)</f>
        <v>0</v>
      </c>
      <c r="D84" s="368">
        <f>SUM(C84*1.34)</f>
        <v>0</v>
      </c>
      <c r="E84" s="368">
        <v>1.98</v>
      </c>
      <c r="F84" s="303">
        <f>SUM('Pyöreät kanavat ja osat'!Q35)</f>
        <v>0</v>
      </c>
      <c r="G84" s="368">
        <f>SUM(F84*1.98)</f>
        <v>0</v>
      </c>
      <c r="H84" s="368">
        <v>2.92</v>
      </c>
      <c r="I84" s="303">
        <f>SUM('Pyöreät kanavat ja osat'!Q52)</f>
        <v>0</v>
      </c>
      <c r="J84" s="368">
        <f>SUM(I84*2.92)</f>
        <v>0</v>
      </c>
      <c r="K84" s="368">
        <v>1.79</v>
      </c>
      <c r="L84" s="177">
        <f>SUM('Pyöreät kanavat ja osat'!Q66)</f>
        <v>0</v>
      </c>
      <c r="M84" s="368">
        <f>SUM(L84*1.79)</f>
        <v>0</v>
      </c>
      <c r="N84" s="368">
        <v>3.44</v>
      </c>
      <c r="O84" s="177">
        <f>SUM('Pyöreät kanavat ja osat'!Q80)</f>
        <v>0</v>
      </c>
      <c r="P84" s="368">
        <f>SUM(O84*3.44)</f>
        <v>0</v>
      </c>
      <c r="Q84" s="368">
        <v>3.97</v>
      </c>
      <c r="R84" s="179">
        <f>SUM('Pyöreät kanavat ja osat'!Q94)</f>
        <v>0</v>
      </c>
      <c r="S84" s="97">
        <f>SUM(R84*3.97)</f>
        <v>0</v>
      </c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</row>
    <row r="85" spans="1:52" ht="15" customHeight="1" thickBot="1" x14ac:dyDescent="0.3">
      <c r="A85" s="4"/>
      <c r="B85" s="8"/>
      <c r="C85" s="86" t="s">
        <v>0</v>
      </c>
      <c r="D85" s="677">
        <f>SUM(D75:D84)</f>
        <v>0</v>
      </c>
      <c r="E85" s="178"/>
      <c r="F85" s="178" t="s">
        <v>0</v>
      </c>
      <c r="G85" s="677">
        <f>SUM(G75:G84)</f>
        <v>0</v>
      </c>
      <c r="H85" s="178"/>
      <c r="I85" s="178" t="s">
        <v>0</v>
      </c>
      <c r="J85" s="677">
        <f>SUM(J75:J84)</f>
        <v>0</v>
      </c>
      <c r="K85" s="86"/>
      <c r="L85" s="178" t="s">
        <v>0</v>
      </c>
      <c r="M85" s="677">
        <f>SUM(M75:M84)</f>
        <v>0</v>
      </c>
      <c r="N85" s="86"/>
      <c r="O85" s="178" t="s">
        <v>0</v>
      </c>
      <c r="P85" s="677">
        <f>SUM(P75:P84)</f>
        <v>0</v>
      </c>
      <c r="Q85" s="86"/>
      <c r="R85" s="180" t="s">
        <v>0</v>
      </c>
      <c r="S85" s="678">
        <f>SUM(S75:S84)</f>
        <v>0</v>
      </c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</row>
    <row r="86" spans="1:52" ht="15" customHeight="1" x14ac:dyDescent="0.65">
      <c r="A86" s="4"/>
      <c r="B86" s="3"/>
      <c r="C86" s="3"/>
      <c r="D86" s="3"/>
      <c r="E86" s="3"/>
      <c r="F86" s="8"/>
      <c r="G86" s="79"/>
      <c r="L86" s="8"/>
      <c r="M86" s="8"/>
      <c r="N86" s="8"/>
      <c r="O86" s="8"/>
      <c r="P86" s="8"/>
      <c r="Q86" s="8"/>
      <c r="R86" s="8"/>
      <c r="S86" s="91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</row>
    <row r="87" spans="1:52" ht="15" customHeight="1" x14ac:dyDescent="0.3">
      <c r="G87" s="703" t="s">
        <v>448</v>
      </c>
      <c r="H87" s="322"/>
      <c r="I87" s="154">
        <v>7</v>
      </c>
      <c r="J87" s="155"/>
      <c r="K87" s="152"/>
      <c r="L87" s="437">
        <v>8</v>
      </c>
      <c r="M87" s="437"/>
      <c r="N87" s="322"/>
      <c r="O87" s="438">
        <v>9</v>
      </c>
      <c r="P87" s="439"/>
      <c r="Q87" s="437"/>
      <c r="R87" s="154">
        <v>10</v>
      </c>
      <c r="S87" s="11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</row>
    <row r="88" spans="1:52" ht="15" customHeight="1" x14ac:dyDescent="0.3">
      <c r="E88" s="169"/>
      <c r="G88" s="704"/>
      <c r="H88" s="431"/>
      <c r="I88" s="149"/>
      <c r="J88" s="432"/>
      <c r="K88" s="429"/>
      <c r="L88" s="149"/>
      <c r="M88" s="150"/>
      <c r="N88" s="434"/>
      <c r="O88" s="151"/>
      <c r="P88" s="394"/>
      <c r="Q88" s="17"/>
      <c r="R88" s="149"/>
      <c r="S88" s="12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</row>
    <row r="89" spans="1:52" ht="15" customHeight="1" x14ac:dyDescent="0.25">
      <c r="A89" s="5" t="s">
        <v>159</v>
      </c>
      <c r="G89" s="431" t="s">
        <v>38</v>
      </c>
      <c r="H89" s="431" t="s">
        <v>0</v>
      </c>
      <c r="I89" s="16" t="s">
        <v>158</v>
      </c>
      <c r="J89" s="433" t="s">
        <v>0</v>
      </c>
      <c r="K89" s="32" t="s">
        <v>0</v>
      </c>
      <c r="L89" s="16" t="s">
        <v>158</v>
      </c>
      <c r="M89" s="32" t="s">
        <v>0</v>
      </c>
      <c r="N89" s="431" t="s">
        <v>0</v>
      </c>
      <c r="O89" s="430" t="s">
        <v>158</v>
      </c>
      <c r="P89" s="433" t="s">
        <v>0</v>
      </c>
      <c r="Q89" s="32" t="s">
        <v>0</v>
      </c>
      <c r="R89" s="430" t="s">
        <v>158</v>
      </c>
      <c r="S89" s="435" t="s">
        <v>0</v>
      </c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</row>
    <row r="90" spans="1:52" ht="15.75" customHeight="1" x14ac:dyDescent="0.25">
      <c r="A90" s="5" t="s">
        <v>443</v>
      </c>
      <c r="B90" s="5"/>
      <c r="G90" s="219">
        <v>-125</v>
      </c>
      <c r="H90" s="368">
        <v>0.37</v>
      </c>
      <c r="I90" s="179">
        <f>SUM('Pyöreät kanavat ja osat'!Q99)</f>
        <v>0</v>
      </c>
      <c r="J90" s="97">
        <f>SUM(I90*0.37)</f>
        <v>0</v>
      </c>
      <c r="K90" s="97">
        <v>0.28000000000000003</v>
      </c>
      <c r="L90" s="179">
        <f>SUM('Pyöreät kanavat ja osat'!Q113)</f>
        <v>0</v>
      </c>
      <c r="M90" s="97">
        <f>SUM(L90*0.28)</f>
        <v>0</v>
      </c>
      <c r="N90" s="97">
        <v>0.7</v>
      </c>
      <c r="O90" s="179">
        <f>SUM('Pyöreät kanavat ja osat'!Q128)</f>
        <v>0</v>
      </c>
      <c r="P90" s="97">
        <f>SUM(O90*0.7)</f>
        <v>0</v>
      </c>
      <c r="Q90" s="97">
        <v>0.23</v>
      </c>
      <c r="R90" s="179">
        <f>SUM('Pyöreät kanavat ja osat'!Q143)</f>
        <v>0</v>
      </c>
      <c r="S90" s="97">
        <f>SUM(R90*Q90)</f>
        <v>0</v>
      </c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</row>
    <row r="91" spans="1:52" ht="15.75" customHeight="1" x14ac:dyDescent="0.25">
      <c r="A91" s="80" t="s">
        <v>444</v>
      </c>
      <c r="B91" s="5"/>
      <c r="G91" s="219">
        <v>-200</v>
      </c>
      <c r="H91" s="368">
        <v>0.4</v>
      </c>
      <c r="I91" s="179">
        <f>SUM('Pyöreät kanavat ja osat'!Q100)</f>
        <v>0</v>
      </c>
      <c r="J91" s="97">
        <f>SUM(I91*0.4)</f>
        <v>0</v>
      </c>
      <c r="K91" s="97">
        <v>0.3</v>
      </c>
      <c r="L91" s="179">
        <f>SUM('Pyöreät kanavat ja osat'!Q114)</f>
        <v>0</v>
      </c>
      <c r="M91" s="97">
        <f>SUM(L91*0.3)</f>
        <v>0</v>
      </c>
      <c r="N91" s="97">
        <v>0.75</v>
      </c>
      <c r="O91" s="179">
        <f>SUM('Pyöreät kanavat ja osat'!Q129)</f>
        <v>0</v>
      </c>
      <c r="P91" s="97">
        <f>SUM(O91*0.75)</f>
        <v>0</v>
      </c>
      <c r="Q91" s="97">
        <v>0.26</v>
      </c>
      <c r="R91" s="179">
        <f>SUM('Pyöreät kanavat ja osat'!Q144)</f>
        <v>0</v>
      </c>
      <c r="S91" s="97">
        <f t="shared" ref="S91:S99" si="0">SUM(R91*Q91)</f>
        <v>0</v>
      </c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</row>
    <row r="92" spans="1:52" ht="15" customHeight="1" x14ac:dyDescent="0.25">
      <c r="A92" s="80" t="s">
        <v>490</v>
      </c>
      <c r="B92" s="5"/>
      <c r="G92" s="219">
        <v>250</v>
      </c>
      <c r="H92" s="368">
        <v>0.48</v>
      </c>
      <c r="I92" s="179">
        <f>SUM('Pyöreät kanavat ja osat'!Q101)</f>
        <v>0</v>
      </c>
      <c r="J92" s="97">
        <f>SUM(I92*0.48)</f>
        <v>0</v>
      </c>
      <c r="K92" s="97">
        <v>0.36</v>
      </c>
      <c r="L92" s="179">
        <f>SUM('Pyöreät kanavat ja osat'!Q115)</f>
        <v>0</v>
      </c>
      <c r="M92" s="97">
        <f>SUM(L92*0.36)</f>
        <v>0</v>
      </c>
      <c r="N92" s="97">
        <v>0.9</v>
      </c>
      <c r="O92" s="179">
        <f>SUM('Pyöreät kanavat ja osat'!Q130)</f>
        <v>0</v>
      </c>
      <c r="P92" s="97">
        <f>SUM(O92*0.9)</f>
        <v>0</v>
      </c>
      <c r="Q92" s="97">
        <v>0.31</v>
      </c>
      <c r="R92" s="179">
        <f>SUM('Pyöreät kanavat ja osat'!Q145)</f>
        <v>0</v>
      </c>
      <c r="S92" s="97">
        <f t="shared" si="0"/>
        <v>0</v>
      </c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</row>
    <row r="93" spans="1:52" ht="15" customHeight="1" x14ac:dyDescent="0.25">
      <c r="A93" s="3" t="s">
        <v>445</v>
      </c>
      <c r="B93" s="5"/>
      <c r="G93" s="219">
        <v>315</v>
      </c>
      <c r="H93" s="368">
        <v>0.6</v>
      </c>
      <c r="I93" s="179">
        <f>SUM('Pyöreät kanavat ja osat'!Q102)</f>
        <v>0</v>
      </c>
      <c r="J93" s="97">
        <f>SUM(I93*0.6)</f>
        <v>0</v>
      </c>
      <c r="K93" s="97">
        <v>0.45</v>
      </c>
      <c r="L93" s="179">
        <f>SUM('Pyöreät kanavat ja osat'!Q116)</f>
        <v>0</v>
      </c>
      <c r="M93" s="97">
        <f>SUM(L93*0.45)</f>
        <v>0</v>
      </c>
      <c r="N93" s="97">
        <v>1.1299999999999999</v>
      </c>
      <c r="O93" s="179">
        <f>SUM('Pyöreät kanavat ja osat'!Q131)</f>
        <v>0</v>
      </c>
      <c r="P93" s="97">
        <f>SUM(O93*1.13)</f>
        <v>0</v>
      </c>
      <c r="Q93" s="97">
        <v>0.35</v>
      </c>
      <c r="R93" s="179">
        <f>SUM('Pyöreät kanavat ja osat'!Q146)</f>
        <v>0</v>
      </c>
      <c r="S93" s="97">
        <f t="shared" si="0"/>
        <v>0</v>
      </c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</row>
    <row r="94" spans="1:52" ht="15.75" customHeight="1" x14ac:dyDescent="0.25">
      <c r="A94" s="3" t="s">
        <v>485</v>
      </c>
      <c r="B94" s="5"/>
      <c r="G94" s="219">
        <v>400</v>
      </c>
      <c r="H94" s="368">
        <v>0.68</v>
      </c>
      <c r="I94" s="179">
        <f>SUM('Pyöreät kanavat ja osat'!Q103)</f>
        <v>0</v>
      </c>
      <c r="J94" s="97">
        <f>SUM(I94*0.68)</f>
        <v>0</v>
      </c>
      <c r="K94" s="97">
        <v>0.51</v>
      </c>
      <c r="L94" s="179">
        <f>SUM('Pyöreät kanavat ja osat'!Q117)</f>
        <v>0</v>
      </c>
      <c r="M94" s="97">
        <f>SUM(L94*0.51)</f>
        <v>0</v>
      </c>
      <c r="N94" s="97">
        <v>1.28</v>
      </c>
      <c r="O94" s="179">
        <f>SUM('Pyöreät kanavat ja osat'!Q132)</f>
        <v>0</v>
      </c>
      <c r="P94" s="97">
        <f>SUM(O94*1.28)</f>
        <v>0</v>
      </c>
      <c r="Q94" s="97">
        <v>0.4</v>
      </c>
      <c r="R94" s="179">
        <f>SUM('Pyöreät kanavat ja osat'!Q147)</f>
        <v>0</v>
      </c>
      <c r="S94" s="97">
        <f t="shared" si="0"/>
        <v>0</v>
      </c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</row>
    <row r="95" spans="1:52" ht="15" customHeight="1" x14ac:dyDescent="0.25">
      <c r="A95" s="3" t="s">
        <v>528</v>
      </c>
      <c r="B95" s="5"/>
      <c r="G95" s="219">
        <v>500</v>
      </c>
      <c r="H95" s="368">
        <v>0.85</v>
      </c>
      <c r="I95" s="179">
        <f>SUM('Pyöreät kanavat ja osat'!Q104)</f>
        <v>0</v>
      </c>
      <c r="J95" s="97">
        <f>SUM(I95*0.85)</f>
        <v>0</v>
      </c>
      <c r="K95" s="97">
        <v>0.63</v>
      </c>
      <c r="L95" s="179">
        <f>SUM('Pyöreät kanavat ja osat'!Q118)</f>
        <v>0</v>
      </c>
      <c r="M95" s="97">
        <f>SUM(L95*0.63)</f>
        <v>0</v>
      </c>
      <c r="N95" s="97">
        <v>1.58</v>
      </c>
      <c r="O95" s="179">
        <f>SUM('Pyöreät kanavat ja osat'!Q133)</f>
        <v>0</v>
      </c>
      <c r="P95" s="97">
        <f>SUM(O95*1.58)</f>
        <v>0</v>
      </c>
      <c r="Q95" s="97">
        <v>0.51</v>
      </c>
      <c r="R95" s="179">
        <f>SUM('Pyöreät kanavat ja osat'!Q148)</f>
        <v>0</v>
      </c>
      <c r="S95" s="97">
        <f t="shared" si="0"/>
        <v>0</v>
      </c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</row>
    <row r="96" spans="1:52" ht="15.75" customHeight="1" x14ac:dyDescent="0.25">
      <c r="A96" s="60" t="s">
        <v>442</v>
      </c>
      <c r="B96" s="5"/>
      <c r="G96" s="219">
        <v>630</v>
      </c>
      <c r="H96" s="368">
        <v>0.96</v>
      </c>
      <c r="I96" s="179">
        <f>SUM('Pyöreät kanavat ja osat'!Q105)</f>
        <v>0</v>
      </c>
      <c r="J96" s="97">
        <f>SUM(I96*0.96)</f>
        <v>0</v>
      </c>
      <c r="K96" s="97">
        <v>0.8</v>
      </c>
      <c r="L96" s="179">
        <f>SUM('Pyöreät kanavat ja osat'!Q119)</f>
        <v>0</v>
      </c>
      <c r="M96" s="97">
        <f>SUM(L96*0.8)</f>
        <v>0</v>
      </c>
      <c r="N96" s="97">
        <v>2</v>
      </c>
      <c r="O96" s="179">
        <f>SUM('Pyöreät kanavat ja osat'!Q134)</f>
        <v>0</v>
      </c>
      <c r="P96" s="97">
        <f>SUM(O96*2)</f>
        <v>0</v>
      </c>
      <c r="Q96" s="97">
        <v>0.68</v>
      </c>
      <c r="R96" s="179">
        <f>SUM('Pyöreät kanavat ja osat'!Q149)</f>
        <v>0</v>
      </c>
      <c r="S96" s="97">
        <f t="shared" si="0"/>
        <v>0</v>
      </c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</row>
    <row r="97" spans="1:52" ht="15.75" customHeight="1" x14ac:dyDescent="0.25">
      <c r="A97" s="60" t="s">
        <v>242</v>
      </c>
      <c r="B97" s="5"/>
      <c r="G97" s="224">
        <v>800</v>
      </c>
      <c r="H97" s="368">
        <v>1.3</v>
      </c>
      <c r="I97" s="179">
        <f>SUM('Pyöreät kanavat ja osat'!Q106)</f>
        <v>0</v>
      </c>
      <c r="J97" s="97">
        <f>SUM(I97*1.3)</f>
        <v>0</v>
      </c>
      <c r="K97" s="97">
        <v>0.97</v>
      </c>
      <c r="L97" s="179">
        <f>SUM('Pyöreät kanavat ja osat'!Q120)</f>
        <v>0</v>
      </c>
      <c r="M97" s="97">
        <f>SUM(L97*0.97)</f>
        <v>0</v>
      </c>
      <c r="N97" s="97">
        <v>2.4300000000000002</v>
      </c>
      <c r="O97" s="179">
        <f>SUM('Pyöreät kanavat ja osat'!Q135)</f>
        <v>0</v>
      </c>
      <c r="P97" s="97">
        <f>SUM(O97*2.43)</f>
        <v>0</v>
      </c>
      <c r="Q97" s="97">
        <v>0.75</v>
      </c>
      <c r="R97" s="179">
        <f>SUM('Pyöreät kanavat ja osat'!Q150)</f>
        <v>0</v>
      </c>
      <c r="S97" s="97">
        <f t="shared" si="0"/>
        <v>0</v>
      </c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</row>
    <row r="98" spans="1:52" ht="15" customHeight="1" x14ac:dyDescent="0.25">
      <c r="A98" s="60" t="s">
        <v>163</v>
      </c>
      <c r="B98" s="5"/>
      <c r="G98" s="219">
        <v>1000</v>
      </c>
      <c r="H98" s="368">
        <v>1.59</v>
      </c>
      <c r="I98" s="179">
        <f>SUM('Pyöreät kanavat ja osat'!Q107)</f>
        <v>0</v>
      </c>
      <c r="J98" s="97">
        <f>SUM(I98*1.59)</f>
        <v>0</v>
      </c>
      <c r="K98" s="97">
        <v>1.18</v>
      </c>
      <c r="L98" s="179">
        <f>SUM('Pyöreät kanavat ja osat'!Q121)</f>
        <v>0</v>
      </c>
      <c r="M98" s="97">
        <f>SUM(L98*1.18)</f>
        <v>0</v>
      </c>
      <c r="N98" s="97">
        <v>2.9</v>
      </c>
      <c r="O98" s="179">
        <f>SUM('Pyöreät kanavat ja osat'!Q136)</f>
        <v>0</v>
      </c>
      <c r="P98" s="97">
        <f>SUM(O98*2.9)</f>
        <v>0</v>
      </c>
      <c r="Q98" s="97">
        <v>1.28</v>
      </c>
      <c r="R98" s="179">
        <f>SUM('Pyöreät kanavat ja osat'!Q151)</f>
        <v>0</v>
      </c>
      <c r="S98" s="97">
        <f t="shared" si="0"/>
        <v>0</v>
      </c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</row>
    <row r="99" spans="1:52" ht="15.75" customHeight="1" x14ac:dyDescent="0.25">
      <c r="A99" s="60" t="s">
        <v>446</v>
      </c>
      <c r="B99" s="5"/>
      <c r="G99" s="219">
        <v>1250</v>
      </c>
      <c r="H99" s="368">
        <v>1.87</v>
      </c>
      <c r="I99" s="179">
        <f>SUM('Pyöreät kanavat ja osat'!Q108)</f>
        <v>0</v>
      </c>
      <c r="J99" s="97">
        <f>SUM(I99*1.87)</f>
        <v>0</v>
      </c>
      <c r="K99" s="97">
        <v>1.33</v>
      </c>
      <c r="L99" s="179">
        <f>SUM('Pyöreät kanavat ja osat'!Q122)</f>
        <v>0</v>
      </c>
      <c r="M99" s="97">
        <f>SUM(L99*1.33)</f>
        <v>0</v>
      </c>
      <c r="N99" s="97">
        <v>3.33</v>
      </c>
      <c r="O99" s="179">
        <f>SUM('Pyöreät kanavat ja osat'!Q137)</f>
        <v>0</v>
      </c>
      <c r="P99" s="97">
        <f>SUM(O99*3.33)</f>
        <v>0</v>
      </c>
      <c r="Q99" s="97">
        <v>1.68</v>
      </c>
      <c r="R99" s="179">
        <f>SUM('Pyöreät kanavat ja osat'!Q152)</f>
        <v>0</v>
      </c>
      <c r="S99" s="97">
        <f t="shared" si="0"/>
        <v>0</v>
      </c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</row>
    <row r="100" spans="1:52" ht="15.75" customHeight="1" thickBot="1" x14ac:dyDescent="0.35">
      <c r="A100" s="427" t="s">
        <v>447</v>
      </c>
      <c r="B100" s="428"/>
      <c r="E100" s="8"/>
      <c r="G100" s="8"/>
      <c r="H100" s="86"/>
      <c r="I100" s="86" t="s">
        <v>0</v>
      </c>
      <c r="J100" s="677">
        <f>SUM(J90:J99)</f>
        <v>0</v>
      </c>
      <c r="K100" s="59"/>
      <c r="L100" s="168" t="s">
        <v>0</v>
      </c>
      <c r="M100" s="678">
        <f>SUM(M90:M99)</f>
        <v>0</v>
      </c>
      <c r="N100" s="86"/>
      <c r="O100" s="168" t="s">
        <v>0</v>
      </c>
      <c r="P100" s="678">
        <f>SUM(P90:P99)</f>
        <v>0</v>
      </c>
      <c r="Q100" s="86"/>
      <c r="R100" s="168" t="s">
        <v>0</v>
      </c>
      <c r="S100" s="678">
        <f>SUM(S90:S99)</f>
        <v>0</v>
      </c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</row>
    <row r="101" spans="1:52" ht="9" customHeight="1" x14ac:dyDescent="0.65">
      <c r="A101" s="4"/>
      <c r="B101" s="8"/>
      <c r="E101" s="8"/>
      <c r="F101" s="8"/>
      <c r="G101" s="79"/>
      <c r="J101" s="8"/>
      <c r="K101" s="8"/>
      <c r="L101" s="8"/>
      <c r="M101" s="8"/>
      <c r="O101" s="8"/>
      <c r="S101" s="91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</row>
    <row r="102" spans="1:52" ht="19.5" customHeight="1" thickBot="1" x14ac:dyDescent="0.7">
      <c r="A102" s="4"/>
      <c r="B102" s="8"/>
      <c r="E102" s="8"/>
      <c r="F102" s="8"/>
      <c r="G102" s="79"/>
      <c r="J102" s="8"/>
      <c r="K102" s="8"/>
      <c r="L102" s="8"/>
      <c r="M102" s="8"/>
      <c r="N102" s="8"/>
      <c r="O102" s="8"/>
      <c r="P102" s="86" t="s">
        <v>220</v>
      </c>
      <c r="Q102" s="86" t="s">
        <v>0</v>
      </c>
      <c r="R102" s="225">
        <f>SUM(D85+G85+J85+M85+P85+S85+J100+M100+P100+S100)</f>
        <v>0</v>
      </c>
      <c r="S102" s="91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</row>
    <row r="103" spans="1:52" ht="28.5" customHeight="1" x14ac:dyDescent="0.65">
      <c r="A103" s="4"/>
      <c r="B103" s="8"/>
      <c r="E103" s="8"/>
      <c r="F103" s="8"/>
      <c r="G103" s="79"/>
      <c r="J103" s="8"/>
      <c r="K103" s="8"/>
      <c r="L103" s="8"/>
      <c r="M103" s="8"/>
      <c r="N103" s="8"/>
      <c r="O103" s="8"/>
      <c r="P103" s="8"/>
      <c r="Q103" s="8"/>
      <c r="R103" s="92"/>
      <c r="S103" s="91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</row>
    <row r="104" spans="1:52" ht="1.1499999999999999" customHeight="1" x14ac:dyDescent="0.65">
      <c r="A104" s="4"/>
      <c r="B104" s="8"/>
      <c r="E104" s="8"/>
      <c r="F104" s="8"/>
      <c r="G104" s="79"/>
      <c r="J104" s="8"/>
      <c r="K104" s="8"/>
      <c r="L104" s="8"/>
      <c r="M104" s="8"/>
      <c r="N104" s="8"/>
      <c r="O104" s="8"/>
      <c r="P104" s="8"/>
      <c r="Q104" s="8"/>
      <c r="R104" s="92"/>
      <c r="S104" s="91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</row>
    <row r="105" spans="1:52" ht="12" customHeight="1" x14ac:dyDescent="0.65"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</row>
    <row r="106" spans="1:52" ht="8.25" customHeight="1" x14ac:dyDescent="0.65">
      <c r="J106" s="325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</row>
    <row r="107" spans="1:52" ht="14.25" customHeight="1" x14ac:dyDescent="0.65">
      <c r="J107" s="32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</row>
    <row r="108" spans="1:52" ht="15" customHeight="1" x14ac:dyDescent="0.65">
      <c r="J108" s="325" t="s">
        <v>234</v>
      </c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</row>
    <row r="109" spans="1:52" ht="14.25" customHeight="1" x14ac:dyDescent="0.65"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</row>
    <row r="110" spans="1:52" ht="18" customHeight="1" x14ac:dyDescent="0.65">
      <c r="T110" s="109"/>
      <c r="U110" s="158"/>
      <c r="V110" s="158"/>
      <c r="W110" s="158"/>
      <c r="X110" s="158"/>
      <c r="Y110" s="158"/>
      <c r="Z110" s="214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11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</row>
    <row r="111" spans="1:52" ht="14.25" customHeight="1" x14ac:dyDescent="0.65"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</row>
    <row r="112" spans="1:52" ht="18.75" customHeight="1" x14ac:dyDescent="0.65">
      <c r="A112" s="35" t="s">
        <v>240</v>
      </c>
      <c r="B112" s="36"/>
      <c r="C112" s="35" t="s">
        <v>524</v>
      </c>
      <c r="D112" s="8"/>
      <c r="E112" s="8"/>
      <c r="F112" s="8"/>
      <c r="G112" s="79"/>
      <c r="H112" s="8"/>
      <c r="I112" s="8"/>
      <c r="J112" s="8"/>
      <c r="K112" s="8"/>
      <c r="L112" s="8"/>
      <c r="M112" s="8"/>
      <c r="N112" s="8"/>
      <c r="Q112" s="8"/>
      <c r="R112" s="8"/>
      <c r="S112" s="8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</row>
    <row r="113" spans="1:52" ht="15.75" customHeight="1" x14ac:dyDescent="0.65">
      <c r="A113" s="35"/>
      <c r="B113" s="36"/>
      <c r="C113" s="35"/>
      <c r="D113" s="8"/>
      <c r="E113" s="8"/>
      <c r="F113" s="8"/>
      <c r="G113" s="79"/>
      <c r="H113" s="8"/>
      <c r="I113" s="8"/>
      <c r="J113" s="8"/>
      <c r="K113" s="8"/>
      <c r="L113" s="8"/>
      <c r="M113" s="8"/>
      <c r="N113" s="8"/>
      <c r="Q113" s="8"/>
      <c r="R113" s="8"/>
      <c r="S113" s="8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</row>
    <row r="114" spans="1:52" ht="15.75" customHeight="1" x14ac:dyDescent="0.65">
      <c r="A114" s="4"/>
      <c r="B114" s="8"/>
      <c r="C114" s="8"/>
      <c r="D114" s="8"/>
      <c r="E114" s="8"/>
      <c r="F114" s="8"/>
      <c r="G114" s="79"/>
      <c r="H114" s="8"/>
      <c r="I114" s="8"/>
      <c r="J114" s="8"/>
      <c r="K114" s="8"/>
      <c r="L114" s="8"/>
      <c r="M114" s="8"/>
      <c r="N114" s="8"/>
      <c r="Q114" s="8"/>
      <c r="R114" s="8"/>
      <c r="S114" s="8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</row>
    <row r="115" spans="1:52" ht="15.75" customHeight="1" x14ac:dyDescent="0.65">
      <c r="A115" s="80" t="s">
        <v>160</v>
      </c>
      <c r="B115" s="5"/>
      <c r="C115" s="5"/>
      <c r="D115" s="5"/>
      <c r="J115" s="5" t="s">
        <v>218</v>
      </c>
      <c r="O115" s="80" t="s">
        <v>515</v>
      </c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</row>
    <row r="116" spans="1:52" ht="15.75" customHeight="1" x14ac:dyDescent="0.65">
      <c r="B116" s="5"/>
      <c r="C116" s="5"/>
      <c r="D116" s="5"/>
      <c r="H116" s="15"/>
      <c r="J116" s="15"/>
      <c r="K116" s="15"/>
      <c r="L116" s="15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</row>
    <row r="117" spans="1:52" ht="15.75" customHeight="1" x14ac:dyDescent="0.25">
      <c r="B117" s="18"/>
      <c r="C117" s="9"/>
      <c r="D117" s="212" t="s">
        <v>3</v>
      </c>
      <c r="E117" s="219" t="s">
        <v>4</v>
      </c>
      <c r="F117" s="219" t="s">
        <v>158</v>
      </c>
      <c r="G117" s="436" t="s">
        <v>0</v>
      </c>
      <c r="J117" s="56" t="s">
        <v>45</v>
      </c>
      <c r="K117" s="57"/>
      <c r="L117" s="14" t="s">
        <v>123</v>
      </c>
      <c r="M117" s="13" t="s">
        <v>158</v>
      </c>
      <c r="N117" s="13" t="s">
        <v>0</v>
      </c>
      <c r="P117" s="660" t="s">
        <v>123</v>
      </c>
      <c r="Q117" s="13" t="s">
        <v>158</v>
      </c>
      <c r="R117" s="13" t="s">
        <v>0</v>
      </c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</row>
    <row r="118" spans="1:52" ht="15.75" customHeight="1" x14ac:dyDescent="0.25">
      <c r="B118" s="750" t="s">
        <v>161</v>
      </c>
      <c r="C118" s="751"/>
      <c r="D118" s="219">
        <v>-400</v>
      </c>
      <c r="E118" s="219">
        <v>0.43</v>
      </c>
      <c r="F118" s="179">
        <f>SUM('Pyöreät kanavat ja osat'!Q165)</f>
        <v>0</v>
      </c>
      <c r="G118" s="97">
        <f>SUM(E118*F118)</f>
        <v>0</v>
      </c>
      <c r="J118" s="695" t="s">
        <v>136</v>
      </c>
      <c r="K118" s="695"/>
      <c r="L118" s="444">
        <v>0.96</v>
      </c>
      <c r="M118" s="651">
        <f>SUM('Pyöreät kanavat ja osat'!Q182)</f>
        <v>0</v>
      </c>
      <c r="N118" s="652">
        <f>SUM(L118*M118)</f>
        <v>0</v>
      </c>
      <c r="P118" s="658">
        <v>0.1</v>
      </c>
      <c r="Q118" s="179">
        <f>SUM('Pyöreät kanavat ja osat'!Q158)</f>
        <v>0</v>
      </c>
      <c r="R118" s="658">
        <f>SUM(P118*Q118)</f>
        <v>0</v>
      </c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</row>
    <row r="119" spans="1:52" ht="15.75" customHeight="1" x14ac:dyDescent="0.25">
      <c r="B119" s="719" t="s">
        <v>162</v>
      </c>
      <c r="C119" s="720"/>
      <c r="D119" s="219">
        <v>-400</v>
      </c>
      <c r="E119" s="219">
        <v>0.86</v>
      </c>
      <c r="F119" s="179">
        <f>SUM('Pyöreät kanavat ja osat'!Q168)</f>
        <v>0</v>
      </c>
      <c r="G119" s="97">
        <f t="shared" ref="G119:G121" si="1">SUM(E119*F119)</f>
        <v>0</v>
      </c>
      <c r="J119" s="695" t="s">
        <v>135</v>
      </c>
      <c r="K119" s="695"/>
      <c r="L119" s="444">
        <v>1.0900000000000001</v>
      </c>
      <c r="M119" s="651">
        <f>SUM('Pyöreät kanavat ja osat'!Q183)</f>
        <v>0</v>
      </c>
      <c r="N119" s="652">
        <f t="shared" ref="N119:N127" si="2">SUM(L119*M119)</f>
        <v>0</v>
      </c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</row>
    <row r="120" spans="1:52" ht="15.75" customHeight="1" x14ac:dyDescent="0.25">
      <c r="B120" s="752" t="s">
        <v>161</v>
      </c>
      <c r="C120" s="753"/>
      <c r="D120" s="219" t="s">
        <v>55</v>
      </c>
      <c r="E120" s="219">
        <v>0.55000000000000004</v>
      </c>
      <c r="F120" s="179">
        <f>SUM('Pyöreät kanavat ja osat'!Q166)</f>
        <v>0</v>
      </c>
      <c r="G120" s="97">
        <f t="shared" si="1"/>
        <v>0</v>
      </c>
      <c r="J120" s="695" t="s">
        <v>124</v>
      </c>
      <c r="K120" s="695"/>
      <c r="L120" s="444">
        <v>1.45</v>
      </c>
      <c r="M120" s="651">
        <f>SUM('Pyöreät kanavat ja osat'!Q184)</f>
        <v>0</v>
      </c>
      <c r="N120" s="652">
        <f t="shared" si="2"/>
        <v>0</v>
      </c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</row>
    <row r="121" spans="1:52" ht="15.75" customHeight="1" x14ac:dyDescent="0.25">
      <c r="B121" s="750" t="s">
        <v>162</v>
      </c>
      <c r="C121" s="751"/>
      <c r="D121" s="219" t="s">
        <v>55</v>
      </c>
      <c r="E121" s="219">
        <v>1.01</v>
      </c>
      <c r="F121" s="179">
        <f>SUM('Pyöreät kanavat ja osat'!Q169)</f>
        <v>0</v>
      </c>
      <c r="G121" s="97">
        <f t="shared" si="1"/>
        <v>0</v>
      </c>
      <c r="J121" s="695" t="s">
        <v>125</v>
      </c>
      <c r="K121" s="695"/>
      <c r="L121" s="444">
        <v>1.72</v>
      </c>
      <c r="M121" s="651">
        <f>SUM('Pyöreät kanavat ja osat'!Q185)</f>
        <v>0</v>
      </c>
      <c r="N121" s="652">
        <f t="shared" si="2"/>
        <v>0</v>
      </c>
      <c r="Q121" s="15"/>
      <c r="R121" s="15"/>
      <c r="S121" s="15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</row>
    <row r="122" spans="1:52" ht="16.5" customHeight="1" x14ac:dyDescent="0.65">
      <c r="B122" s="5"/>
      <c r="C122" s="5"/>
      <c r="D122" s="5"/>
      <c r="E122" s="5"/>
      <c r="F122" s="169"/>
      <c r="G122" s="170"/>
      <c r="H122" s="15"/>
      <c r="J122" s="695" t="s">
        <v>126</v>
      </c>
      <c r="K122" s="695"/>
      <c r="L122" s="444">
        <v>2.06</v>
      </c>
      <c r="M122" s="651">
        <f>SUM('Pyöreät kanavat ja osat'!Q186)</f>
        <v>0</v>
      </c>
      <c r="N122" s="652">
        <f t="shared" si="2"/>
        <v>0</v>
      </c>
      <c r="Q122" s="15"/>
      <c r="R122" s="15"/>
      <c r="S122" s="15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</row>
    <row r="123" spans="1:52" ht="14.25" customHeight="1" thickBot="1" x14ac:dyDescent="0.35">
      <c r="B123" s="5"/>
      <c r="C123" s="5"/>
      <c r="D123" s="5"/>
      <c r="F123" s="171" t="s">
        <v>0</v>
      </c>
      <c r="G123" s="676">
        <f>SUM(G118:G121)</f>
        <v>0</v>
      </c>
      <c r="H123" s="15"/>
      <c r="J123" s="695" t="s">
        <v>127</v>
      </c>
      <c r="K123" s="695"/>
      <c r="L123" s="653">
        <v>2.4</v>
      </c>
      <c r="M123" s="651">
        <f>SUM('Pyöreät kanavat ja osat'!Q187)</f>
        <v>0</v>
      </c>
      <c r="N123" s="652">
        <f t="shared" si="2"/>
        <v>0</v>
      </c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</row>
    <row r="124" spans="1:52" ht="15.75" customHeight="1" x14ac:dyDescent="0.65">
      <c r="A124" s="5" t="s">
        <v>67</v>
      </c>
      <c r="B124" s="5"/>
      <c r="C124" s="5"/>
      <c r="D124" s="5"/>
      <c r="J124" s="695" t="s">
        <v>128</v>
      </c>
      <c r="K124" s="695"/>
      <c r="L124" s="444">
        <v>2.72</v>
      </c>
      <c r="M124" s="651">
        <f>SUM('Pyöreät kanavat ja osat'!Q188)</f>
        <v>0</v>
      </c>
      <c r="N124" s="652">
        <f t="shared" si="2"/>
        <v>0</v>
      </c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</row>
    <row r="125" spans="1:52" ht="15.75" customHeight="1" x14ac:dyDescent="0.65">
      <c r="B125" s="4"/>
      <c r="J125" s="694" t="s">
        <v>513</v>
      </c>
      <c r="K125" s="695"/>
      <c r="L125" s="444">
        <v>3.25</v>
      </c>
      <c r="M125" s="651">
        <f>SUM('Pyöreät kanavat ja osat'!Q189)</f>
        <v>0</v>
      </c>
      <c r="N125" s="652">
        <f t="shared" si="2"/>
        <v>0</v>
      </c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</row>
    <row r="126" spans="1:52" ht="15.75" customHeight="1" x14ac:dyDescent="0.65">
      <c r="C126" s="5" t="s">
        <v>428</v>
      </c>
      <c r="D126" s="4"/>
      <c r="J126" s="695" t="s">
        <v>129</v>
      </c>
      <c r="K126" s="695"/>
      <c r="L126" s="444">
        <v>4.05</v>
      </c>
      <c r="M126" s="651">
        <f>SUM('Pyöreät kanavat ja osat'!Q189)</f>
        <v>0</v>
      </c>
      <c r="N126" s="652">
        <f t="shared" si="2"/>
        <v>0</v>
      </c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</row>
    <row r="127" spans="1:52" ht="15.75" customHeight="1" x14ac:dyDescent="0.65">
      <c r="J127" s="695" t="s">
        <v>130</v>
      </c>
      <c r="K127" s="695"/>
      <c r="L127" s="653">
        <v>4.5</v>
      </c>
      <c r="M127" s="651">
        <f>SUM('Pyöreät kanavat ja osat'!Q191)</f>
        <v>0</v>
      </c>
      <c r="N127" s="652">
        <f t="shared" si="2"/>
        <v>0</v>
      </c>
      <c r="Q127" s="15"/>
      <c r="R127" s="15"/>
      <c r="S127" s="15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</row>
    <row r="128" spans="1:52" ht="15.75" customHeight="1" x14ac:dyDescent="0.65">
      <c r="D128" s="444" t="s">
        <v>54</v>
      </c>
      <c r="E128" s="426">
        <v>1</v>
      </c>
      <c r="M128" s="172"/>
      <c r="N128" s="172"/>
      <c r="O128" s="15"/>
      <c r="R128" s="15"/>
      <c r="S128" s="15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</row>
    <row r="129" spans="1:52" ht="15.75" customHeight="1" thickBot="1" x14ac:dyDescent="0.35">
      <c r="D129" s="56" t="s">
        <v>45</v>
      </c>
      <c r="E129" s="13" t="s">
        <v>0</v>
      </c>
      <c r="F129" s="13" t="s">
        <v>158</v>
      </c>
      <c r="G129" s="436" t="s">
        <v>0</v>
      </c>
      <c r="M129" s="171" t="s">
        <v>0</v>
      </c>
      <c r="N129" s="676">
        <f>SUM(N118:N127)</f>
        <v>0</v>
      </c>
      <c r="R129" s="15"/>
      <c r="S129" s="15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</row>
    <row r="130" spans="1:52" ht="15.75" customHeight="1" x14ac:dyDescent="0.25">
      <c r="D130" s="56">
        <v>-125</v>
      </c>
      <c r="E130" s="13">
        <v>0.38</v>
      </c>
      <c r="F130" s="179">
        <f>SUM('Pyöreät kanavat ja osat'!Q174)</f>
        <v>0</v>
      </c>
      <c r="G130" s="97">
        <f>SUM(E130*F130)</f>
        <v>0</v>
      </c>
      <c r="R130" s="15"/>
      <c r="S130" s="15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</row>
    <row r="131" spans="1:52" ht="15.75" customHeight="1" x14ac:dyDescent="0.25">
      <c r="D131" s="56">
        <v>-200</v>
      </c>
      <c r="E131" s="22">
        <v>0.48</v>
      </c>
      <c r="F131" s="179">
        <f>SUM('Pyöreät kanavat ja osat'!Q175)</f>
        <v>0</v>
      </c>
      <c r="G131" s="97">
        <f t="shared" ref="G131:G133" si="3">SUM(E131*F131)</f>
        <v>0</v>
      </c>
      <c r="R131" s="15"/>
      <c r="S131" s="15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</row>
    <row r="132" spans="1:52" ht="15.75" customHeight="1" x14ac:dyDescent="0.25">
      <c r="D132" s="56">
        <v>250</v>
      </c>
      <c r="E132" s="22">
        <v>0.54</v>
      </c>
      <c r="F132" s="179">
        <f>SUM('Pyöreät kanavat ja osat'!Q176)</f>
        <v>0</v>
      </c>
      <c r="G132" s="97">
        <f t="shared" si="3"/>
        <v>0</v>
      </c>
      <c r="R132" s="15"/>
      <c r="S132" s="15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</row>
    <row r="133" spans="1:52" ht="15.75" customHeight="1" x14ac:dyDescent="0.25">
      <c r="D133" s="56">
        <v>315</v>
      </c>
      <c r="E133" s="22">
        <v>0.61</v>
      </c>
      <c r="F133" s="179">
        <f>SUM('Pyöreät kanavat ja osat'!Q177)</f>
        <v>0</v>
      </c>
      <c r="G133" s="97">
        <f t="shared" si="3"/>
        <v>0</v>
      </c>
      <c r="L133" s="80"/>
      <c r="R133" s="15"/>
      <c r="S133" s="15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</row>
    <row r="134" spans="1:52" ht="18.75" customHeight="1" x14ac:dyDescent="0.65">
      <c r="B134" s="5"/>
      <c r="D134" s="5"/>
      <c r="E134" s="5"/>
      <c r="F134" s="172"/>
      <c r="G134" s="173"/>
      <c r="R134" s="15"/>
      <c r="S134" s="15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</row>
    <row r="135" spans="1:52" ht="20.25" customHeight="1" thickBot="1" x14ac:dyDescent="0.35">
      <c r="B135" s="5"/>
      <c r="C135" s="5"/>
      <c r="D135" s="5"/>
      <c r="E135" s="89"/>
      <c r="F135" s="171" t="s">
        <v>0</v>
      </c>
      <c r="G135" s="676">
        <f>SUM(G130:G133)</f>
        <v>0</v>
      </c>
      <c r="H135" s="59"/>
      <c r="R135" s="15"/>
      <c r="S135" s="15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</row>
    <row r="136" spans="1:52" ht="18.75" customHeight="1" thickBot="1" x14ac:dyDescent="0.7">
      <c r="O136" s="88"/>
      <c r="P136" s="89" t="s">
        <v>220</v>
      </c>
      <c r="Q136" s="89" t="s">
        <v>0</v>
      </c>
      <c r="R136" s="659">
        <f>SUM(G123+N129+G135+R118)</f>
        <v>0</v>
      </c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</row>
    <row r="137" spans="1:52" ht="38.5" customHeight="1" x14ac:dyDescent="0.65">
      <c r="R137" s="80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</row>
    <row r="138" spans="1:52" ht="1.5" hidden="1" customHeight="1" x14ac:dyDescent="0.65">
      <c r="A138" s="30"/>
      <c r="S138" s="31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</row>
    <row r="139" spans="1:52" ht="3" hidden="1" customHeight="1" thickBot="1" x14ac:dyDescent="0.7"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</row>
    <row r="140" spans="1:52" ht="10.5" customHeight="1" x14ac:dyDescent="0.65"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</row>
    <row r="141" spans="1:52" ht="18.75" customHeight="1" x14ac:dyDescent="0.35">
      <c r="A141" s="93" t="s">
        <v>523</v>
      </c>
      <c r="B141" s="5"/>
      <c r="C141" s="93"/>
      <c r="D141" s="5"/>
      <c r="E141" s="46"/>
      <c r="F141" s="5"/>
      <c r="G141" s="5"/>
      <c r="J141" s="326" t="s">
        <v>234</v>
      </c>
      <c r="N141" s="60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</row>
    <row r="142" spans="1:52" ht="15.75" customHeight="1" x14ac:dyDescent="0.35">
      <c r="A142"/>
      <c r="B142" s="35" t="s">
        <v>378</v>
      </c>
      <c r="C142" s="46"/>
      <c r="D142" s="5"/>
      <c r="E142" s="46"/>
      <c r="F142" s="5"/>
      <c r="G142" s="5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</row>
    <row r="143" spans="1:52" ht="4.5" customHeight="1" x14ac:dyDescent="0.25">
      <c r="B143" s="5"/>
      <c r="C143" s="5"/>
      <c r="D143" s="46"/>
      <c r="E143" s="5"/>
      <c r="F143" s="46"/>
      <c r="G143" s="5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</row>
    <row r="144" spans="1:52" ht="15.75" customHeight="1" x14ac:dyDescent="0.3">
      <c r="A144" s="41"/>
      <c r="B144" s="2"/>
      <c r="C144" s="2" t="s">
        <v>54</v>
      </c>
      <c r="D144" s="440" t="s">
        <v>67</v>
      </c>
      <c r="E144" s="154">
        <v>1</v>
      </c>
      <c r="F144" s="441"/>
      <c r="G144" s="156" t="s">
        <v>67</v>
      </c>
      <c r="H144" s="154">
        <v>2</v>
      </c>
      <c r="I144" s="155"/>
      <c r="J144" s="440" t="s">
        <v>67</v>
      </c>
      <c r="K144" s="154">
        <v>3</v>
      </c>
      <c r="L144" s="155"/>
      <c r="M144" s="154" t="s">
        <v>67</v>
      </c>
      <c r="N144" s="154">
        <v>4</v>
      </c>
      <c r="O144" s="155"/>
      <c r="P144" s="715" t="s">
        <v>515</v>
      </c>
      <c r="Q144" s="715"/>
      <c r="R144" s="715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</row>
    <row r="145" spans="1:52" ht="15.75" customHeight="1" x14ac:dyDescent="0.25">
      <c r="A145" s="41"/>
      <c r="B145" s="17" t="s">
        <v>230</v>
      </c>
      <c r="C145" s="17"/>
      <c r="D145" s="442" t="s">
        <v>166</v>
      </c>
      <c r="E145" s="16" t="s">
        <v>152</v>
      </c>
      <c r="F145" s="33" t="s">
        <v>0</v>
      </c>
      <c r="G145" s="48" t="s">
        <v>166</v>
      </c>
      <c r="H145" s="45" t="s">
        <v>152</v>
      </c>
      <c r="I145" s="58" t="s">
        <v>0</v>
      </c>
      <c r="J145" s="442"/>
      <c r="K145" s="16" t="s">
        <v>158</v>
      </c>
      <c r="L145" s="33" t="s">
        <v>0</v>
      </c>
      <c r="M145" s="16"/>
      <c r="N145" s="16" t="s">
        <v>158</v>
      </c>
      <c r="O145" s="33" t="s">
        <v>0</v>
      </c>
      <c r="P145" s="715"/>
      <c r="Q145" s="715"/>
      <c r="R145" s="715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</row>
    <row r="146" spans="1:52" ht="15.75" customHeight="1" x14ac:dyDescent="0.25">
      <c r="A146" s="41"/>
      <c r="B146" s="1" t="s">
        <v>231</v>
      </c>
      <c r="C146" s="24" t="s">
        <v>167</v>
      </c>
      <c r="D146" s="39">
        <v>0.45</v>
      </c>
      <c r="E146" s="304">
        <f>SUM(Suorakaidekanavat!Q5)</f>
        <v>0</v>
      </c>
      <c r="F146" s="97">
        <f>SUM(E146*0.45)</f>
        <v>0</v>
      </c>
      <c r="G146" s="22">
        <v>1.1000000000000001</v>
      </c>
      <c r="H146" s="304">
        <f>SUM(Suorakaidekanavat!Q33)</f>
        <v>0</v>
      </c>
      <c r="I146" s="97">
        <f>SUM(H146*1.1)</f>
        <v>0</v>
      </c>
      <c r="J146" s="39">
        <v>0.5</v>
      </c>
      <c r="K146" s="179">
        <f>SUM(Suorakaidekanavat!Q61)</f>
        <v>0</v>
      </c>
      <c r="L146" s="97">
        <f>SUM(K146*0.5)</f>
        <v>0</v>
      </c>
      <c r="M146" s="443">
        <v>1</v>
      </c>
      <c r="N146" s="179">
        <f>SUM(Suorakaidekanavat!Q89)</f>
        <v>0</v>
      </c>
      <c r="O146" s="97">
        <f>SUM(N146*1)</f>
        <v>0</v>
      </c>
      <c r="P146" s="660" t="s">
        <v>525</v>
      </c>
      <c r="Q146" s="13" t="s">
        <v>158</v>
      </c>
      <c r="R146" s="13" t="s">
        <v>0</v>
      </c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</row>
    <row r="147" spans="1:52" ht="15.75" customHeight="1" x14ac:dyDescent="0.25">
      <c r="A147" s="41"/>
      <c r="C147" s="15" t="s">
        <v>168</v>
      </c>
      <c r="D147" s="39">
        <v>0.54</v>
      </c>
      <c r="E147" s="304">
        <f>SUM(Suorakaidekanavat!Q6)</f>
        <v>0</v>
      </c>
      <c r="F147" s="97">
        <f>SUM(E147*0.54)</f>
        <v>0</v>
      </c>
      <c r="G147" s="13">
        <v>1.32</v>
      </c>
      <c r="H147" s="304">
        <f>SUM(Suorakaidekanavat!Q34)</f>
        <v>0</v>
      </c>
      <c r="I147" s="97">
        <f>SUM(H147*1.32)</f>
        <v>0</v>
      </c>
      <c r="J147" s="39">
        <v>0.5</v>
      </c>
      <c r="K147" s="179">
        <f>SUM(Suorakaidekanavat!Q62)</f>
        <v>0</v>
      </c>
      <c r="L147" s="97">
        <f>SUM(K147*0.5)</f>
        <v>0</v>
      </c>
      <c r="M147" s="176">
        <v>1</v>
      </c>
      <c r="N147" s="179">
        <f>SUM(Suorakaidekanavat!Q90)</f>
        <v>0</v>
      </c>
      <c r="O147" s="97">
        <f>SUM(N147*1)</f>
        <v>0</v>
      </c>
      <c r="P147" s="658">
        <v>0.1</v>
      </c>
      <c r="Q147" s="179">
        <f>SUM(Suorakaidekanavat!Q117)</f>
        <v>0</v>
      </c>
      <c r="R147" s="671">
        <f>SUM(P147*Q147)</f>
        <v>0</v>
      </c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</row>
    <row r="148" spans="1:52" ht="15.75" customHeight="1" x14ac:dyDescent="0.25">
      <c r="A148" s="41"/>
      <c r="C148" s="15" t="s">
        <v>169</v>
      </c>
      <c r="D148" s="39">
        <v>0.63</v>
      </c>
      <c r="E148" s="304">
        <f>SUM(Suorakaidekanavat!Q7)</f>
        <v>0</v>
      </c>
      <c r="F148" s="97">
        <f>SUM(E148*0.63)</f>
        <v>0</v>
      </c>
      <c r="G148" s="22">
        <v>1.4</v>
      </c>
      <c r="H148" s="304">
        <f>SUM(Suorakaidekanavat!Q35)</f>
        <v>0</v>
      </c>
      <c r="I148" s="97">
        <f>SUM(H148*1.4)</f>
        <v>0</v>
      </c>
      <c r="J148" s="39">
        <v>0.5</v>
      </c>
      <c r="K148" s="179">
        <f>SUM(Suorakaidekanavat!Q63)</f>
        <v>0</v>
      </c>
      <c r="L148" s="97">
        <f>SUM(K148*0.5)</f>
        <v>0</v>
      </c>
      <c r="M148" s="176">
        <v>1</v>
      </c>
      <c r="N148" s="179">
        <f>SUM(Suorakaidekanavat!Q91)</f>
        <v>0</v>
      </c>
      <c r="O148" s="97">
        <f>SUM(N148*1)</f>
        <v>0</v>
      </c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</row>
    <row r="149" spans="1:52" ht="15.75" customHeight="1" x14ac:dyDescent="0.25">
      <c r="A149" s="41"/>
      <c r="C149" s="15" t="s">
        <v>170</v>
      </c>
      <c r="D149" s="39">
        <v>0.72</v>
      </c>
      <c r="E149" s="304">
        <f>SUM(Suorakaidekanavat!Q8)</f>
        <v>0</v>
      </c>
      <c r="F149" s="97">
        <f>SUM(E149*0.72)</f>
        <v>0</v>
      </c>
      <c r="G149" s="22">
        <v>1.8</v>
      </c>
      <c r="H149" s="304">
        <f>SUM(Suorakaidekanavat!Q36)</f>
        <v>0</v>
      </c>
      <c r="I149" s="97">
        <f>SUM(H149*1.8)</f>
        <v>0</v>
      </c>
      <c r="J149" s="39">
        <v>0.5</v>
      </c>
      <c r="K149" s="179">
        <f>SUM(Suorakaidekanavat!Q64)</f>
        <v>0</v>
      </c>
      <c r="L149" s="97">
        <f>SUM(K149*0.5)</f>
        <v>0</v>
      </c>
      <c r="M149" s="176">
        <v>1</v>
      </c>
      <c r="N149" s="179">
        <f>SUM(Suorakaidekanavat!Q92)</f>
        <v>0</v>
      </c>
      <c r="O149" s="97">
        <f>SUM(N149*1)</f>
        <v>0</v>
      </c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</row>
    <row r="150" spans="1:52" ht="15.75" customHeight="1" x14ac:dyDescent="0.25">
      <c r="A150" s="41"/>
      <c r="B150" s="16"/>
      <c r="C150" s="16" t="s">
        <v>171</v>
      </c>
      <c r="D150" s="39">
        <v>0.81</v>
      </c>
      <c r="E150" s="304">
        <f>SUM(Suorakaidekanavat!Q9)</f>
        <v>0</v>
      </c>
      <c r="F150" s="97">
        <f>SUM(E150*0.81)</f>
        <v>0</v>
      </c>
      <c r="G150" s="22">
        <v>2.2000000000000002</v>
      </c>
      <c r="H150" s="304">
        <f>SUM(Suorakaidekanavat!Q37)</f>
        <v>0</v>
      </c>
      <c r="I150" s="97">
        <f>SUM(H150*2.2)</f>
        <v>0</v>
      </c>
      <c r="J150" s="39">
        <v>0.5</v>
      </c>
      <c r="K150" s="179">
        <f>SUM(Suorakaidekanavat!Q65)</f>
        <v>0</v>
      </c>
      <c r="L150" s="97">
        <f>SUM(K150*0.5)</f>
        <v>0</v>
      </c>
      <c r="M150" s="176">
        <v>1</v>
      </c>
      <c r="N150" s="179">
        <f>SUM(Suorakaidekanavat!Q93)</f>
        <v>0</v>
      </c>
      <c r="O150" s="97">
        <f>SUM(N150*1)</f>
        <v>0</v>
      </c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</row>
    <row r="151" spans="1:52" ht="15.75" customHeight="1" x14ac:dyDescent="0.25">
      <c r="A151" s="41"/>
      <c r="B151" s="1" t="s">
        <v>232</v>
      </c>
      <c r="C151" s="24" t="s">
        <v>172</v>
      </c>
      <c r="D151" s="39">
        <v>0.9</v>
      </c>
      <c r="E151" s="304">
        <f>SUM(Suorakaidekanavat!Q10)</f>
        <v>0</v>
      </c>
      <c r="F151" s="97">
        <f>SUM(E151*0.9)</f>
        <v>0</v>
      </c>
      <c r="G151" s="22">
        <v>2.2000000000000002</v>
      </c>
      <c r="H151" s="304">
        <f>SUM(Suorakaidekanavat!Q38)</f>
        <v>0</v>
      </c>
      <c r="I151" s="97">
        <f>SUM(H151*2.2)</f>
        <v>0</v>
      </c>
      <c r="J151" s="39">
        <v>0.75</v>
      </c>
      <c r="K151" s="179">
        <f>SUM(Suorakaidekanavat!Q66)</f>
        <v>0</v>
      </c>
      <c r="L151" s="97">
        <f t="shared" ref="L151:L156" si="4">SUM(K151*0.75)</f>
        <v>0</v>
      </c>
      <c r="M151" s="13">
        <v>1.5</v>
      </c>
      <c r="N151" s="179">
        <f>SUM(Suorakaidekanavat!Q94)</f>
        <v>0</v>
      </c>
      <c r="O151" s="97">
        <f t="shared" ref="O151:O156" si="5">SUM(N151*1.5)</f>
        <v>0</v>
      </c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</row>
    <row r="152" spans="1:52" ht="15.75" customHeight="1" x14ac:dyDescent="0.25">
      <c r="A152" s="41"/>
      <c r="C152" s="15" t="s">
        <v>173</v>
      </c>
      <c r="D152" s="39">
        <v>1.08</v>
      </c>
      <c r="E152" s="304">
        <f>SUM(Suorakaidekanavat!Q11)</f>
        <v>0</v>
      </c>
      <c r="F152" s="97">
        <f>SUM(E152*1.08)</f>
        <v>0</v>
      </c>
      <c r="G152" s="13">
        <v>2.64</v>
      </c>
      <c r="H152" s="304">
        <f>SUM(Suorakaidekanavat!Q39)</f>
        <v>0</v>
      </c>
      <c r="I152" s="97">
        <f>SUM(H152*2.64)</f>
        <v>0</v>
      </c>
      <c r="J152" s="39">
        <v>0.75</v>
      </c>
      <c r="K152" s="179">
        <f>SUM(Suorakaidekanavat!Q67)</f>
        <v>0</v>
      </c>
      <c r="L152" s="97">
        <f t="shared" si="4"/>
        <v>0</v>
      </c>
      <c r="M152" s="13">
        <v>1.5</v>
      </c>
      <c r="N152" s="179">
        <f>SUM(Suorakaidekanavat!Q95)</f>
        <v>0</v>
      </c>
      <c r="O152" s="97">
        <f t="shared" si="5"/>
        <v>0</v>
      </c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</row>
    <row r="153" spans="1:52" ht="15.75" customHeight="1" x14ac:dyDescent="0.25">
      <c r="A153" s="41"/>
      <c r="C153" s="15" t="s">
        <v>174</v>
      </c>
      <c r="D153" s="39">
        <v>1.26</v>
      </c>
      <c r="E153" s="304">
        <f>SUM(Suorakaidekanavat!Q12)</f>
        <v>0</v>
      </c>
      <c r="F153" s="97">
        <f>SUM(E153*1.26)</f>
        <v>0</v>
      </c>
      <c r="G153" s="13">
        <v>3.08</v>
      </c>
      <c r="H153" s="304">
        <f>SUM(Suorakaidekanavat!Q40)</f>
        <v>0</v>
      </c>
      <c r="I153" s="97">
        <f>SUM(H153*3.08)</f>
        <v>0</v>
      </c>
      <c r="J153" s="39">
        <v>0.75</v>
      </c>
      <c r="K153" s="179">
        <f>SUM(Suorakaidekanavat!Q68)</f>
        <v>0</v>
      </c>
      <c r="L153" s="97">
        <f t="shared" si="4"/>
        <v>0</v>
      </c>
      <c r="M153" s="13">
        <v>1.5</v>
      </c>
      <c r="N153" s="179">
        <f>SUM(Suorakaidekanavat!Q96)</f>
        <v>0</v>
      </c>
      <c r="O153" s="97">
        <f t="shared" si="5"/>
        <v>0</v>
      </c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</row>
    <row r="154" spans="1:52" ht="15.75" customHeight="1" x14ac:dyDescent="0.25">
      <c r="A154" s="41"/>
      <c r="C154" s="15" t="s">
        <v>175</v>
      </c>
      <c r="D154" s="39">
        <v>1.44</v>
      </c>
      <c r="E154" s="304">
        <f>SUM(Suorakaidekanavat!Q13)</f>
        <v>0</v>
      </c>
      <c r="F154" s="97">
        <f>SUM(E154*1.44)</f>
        <v>0</v>
      </c>
      <c r="G154" s="13">
        <v>3.52</v>
      </c>
      <c r="H154" s="304">
        <f>SUM(Suorakaidekanavat!Q41)</f>
        <v>0</v>
      </c>
      <c r="I154" s="97">
        <f>SUM(H154*3.52)</f>
        <v>0</v>
      </c>
      <c r="J154" s="39">
        <v>0.75</v>
      </c>
      <c r="K154" s="179">
        <f>SUM(Suorakaidekanavat!Q69)</f>
        <v>0</v>
      </c>
      <c r="L154" s="97">
        <f t="shared" si="4"/>
        <v>0</v>
      </c>
      <c r="M154" s="13">
        <v>1.5</v>
      </c>
      <c r="N154" s="179">
        <f>SUM(Suorakaidekanavat!Q97)</f>
        <v>0</v>
      </c>
      <c r="O154" s="97">
        <f t="shared" si="5"/>
        <v>0</v>
      </c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</row>
    <row r="155" spans="1:52" ht="15.75" customHeight="1" x14ac:dyDescent="0.25">
      <c r="A155" s="41"/>
      <c r="C155" s="15" t="s">
        <v>176</v>
      </c>
      <c r="D155" s="39">
        <v>1.62</v>
      </c>
      <c r="E155" s="304">
        <f>SUM(Suorakaidekanavat!Q14)</f>
        <v>0</v>
      </c>
      <c r="F155" s="97">
        <f>SUM(E155*1.62)</f>
        <v>0</v>
      </c>
      <c r="G155" s="13">
        <v>3.96</v>
      </c>
      <c r="H155" s="304">
        <f>SUM(Suorakaidekanavat!Q42)</f>
        <v>0</v>
      </c>
      <c r="I155" s="97">
        <f>SUM(H155*3.96)</f>
        <v>0</v>
      </c>
      <c r="J155" s="39">
        <v>0.75</v>
      </c>
      <c r="K155" s="179">
        <f>SUM(Suorakaidekanavat!Q70)</f>
        <v>0</v>
      </c>
      <c r="L155" s="97">
        <f t="shared" si="4"/>
        <v>0</v>
      </c>
      <c r="M155" s="13">
        <v>1.5</v>
      </c>
      <c r="N155" s="179">
        <f>SUM(Suorakaidekanavat!Q98)</f>
        <v>0</v>
      </c>
      <c r="O155" s="97">
        <f t="shared" si="5"/>
        <v>0</v>
      </c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</row>
    <row r="156" spans="1:52" ht="15.75" customHeight="1" x14ac:dyDescent="0.25">
      <c r="A156" s="41"/>
      <c r="B156" s="16"/>
      <c r="C156" s="16" t="s">
        <v>177</v>
      </c>
      <c r="D156" s="39">
        <v>1.71</v>
      </c>
      <c r="E156" s="304">
        <f>SUM(Suorakaidekanavat!Q15)</f>
        <v>0</v>
      </c>
      <c r="F156" s="97">
        <f>SUM(E156*1.71)</f>
        <v>0</v>
      </c>
      <c r="G156" s="13">
        <v>4.18</v>
      </c>
      <c r="H156" s="304">
        <f>SUM(Suorakaidekanavat!Q43)</f>
        <v>0</v>
      </c>
      <c r="I156" s="97">
        <f>SUM(H156*4.18)</f>
        <v>0</v>
      </c>
      <c r="J156" s="39">
        <v>0.75</v>
      </c>
      <c r="K156" s="179">
        <f>SUM(Suorakaidekanavat!Q71)</f>
        <v>0</v>
      </c>
      <c r="L156" s="97">
        <f t="shared" si="4"/>
        <v>0</v>
      </c>
      <c r="M156" s="13">
        <v>1.5</v>
      </c>
      <c r="N156" s="179">
        <f>SUM(Suorakaidekanavat!Q99)</f>
        <v>0</v>
      </c>
      <c r="O156" s="97">
        <f t="shared" si="5"/>
        <v>0</v>
      </c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</row>
    <row r="157" spans="1:52" ht="15" customHeight="1" x14ac:dyDescent="0.25">
      <c r="A157" s="41"/>
      <c r="B157" s="1" t="s">
        <v>233</v>
      </c>
      <c r="C157" s="24" t="s">
        <v>178</v>
      </c>
      <c r="D157" s="39">
        <v>1.9</v>
      </c>
      <c r="E157" s="304">
        <f>SUM(Suorakaidekanavat!Q16)</f>
        <v>0</v>
      </c>
      <c r="F157" s="97">
        <f>SUM(E157*1.9)</f>
        <v>0</v>
      </c>
      <c r="G157" s="22">
        <v>4.4000000000000004</v>
      </c>
      <c r="H157" s="304">
        <f>SUM(Suorakaidekanavat!Q44)</f>
        <v>0</v>
      </c>
      <c r="I157" s="97">
        <f>SUM(H157*4.4)</f>
        <v>0</v>
      </c>
      <c r="J157" s="39">
        <v>1</v>
      </c>
      <c r="K157" s="179">
        <f>SUM(Suorakaidekanavat!Q72)</f>
        <v>0</v>
      </c>
      <c r="L157" s="97">
        <f t="shared" ref="L157:L163" si="6">SUM(K157*1)</f>
        <v>0</v>
      </c>
      <c r="M157" s="176">
        <v>2</v>
      </c>
      <c r="N157" s="179">
        <f>SUM(Suorakaidekanavat!Q100)</f>
        <v>0</v>
      </c>
      <c r="O157" s="97">
        <f t="shared" ref="O157:O163" si="7">SUM(N157*2)</f>
        <v>0</v>
      </c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</row>
    <row r="158" spans="1:52" ht="15.75" customHeight="1" x14ac:dyDescent="0.25">
      <c r="A158" s="41"/>
      <c r="C158" s="15" t="s">
        <v>179</v>
      </c>
      <c r="D158" s="39">
        <v>1.98</v>
      </c>
      <c r="E158" s="304">
        <f>SUM(Suorakaidekanavat!Q17)</f>
        <v>0</v>
      </c>
      <c r="F158" s="97">
        <f>SUM(E158*1.98)</f>
        <v>0</v>
      </c>
      <c r="G158" s="13">
        <v>4.84</v>
      </c>
      <c r="H158" s="304">
        <f>SUM(Suorakaidekanavat!Q45)</f>
        <v>0</v>
      </c>
      <c r="I158" s="97">
        <f>SUM(H158*4.84)</f>
        <v>0</v>
      </c>
      <c r="J158" s="39">
        <v>1</v>
      </c>
      <c r="K158" s="179">
        <f>SUM(Suorakaidekanavat!Q73)</f>
        <v>0</v>
      </c>
      <c r="L158" s="97">
        <f t="shared" si="6"/>
        <v>0</v>
      </c>
      <c r="M158" s="176">
        <v>2</v>
      </c>
      <c r="N158" s="179">
        <f>SUM(Suorakaidekanavat!Q101)</f>
        <v>0</v>
      </c>
      <c r="O158" s="97">
        <f t="shared" si="7"/>
        <v>0</v>
      </c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</row>
    <row r="159" spans="1:52" ht="15.75" customHeight="1" x14ac:dyDescent="0.25">
      <c r="A159" s="41"/>
      <c r="C159" s="15" t="s">
        <v>180</v>
      </c>
      <c r="D159" s="39">
        <v>2.16</v>
      </c>
      <c r="E159" s="304">
        <f>SUM(Suorakaidekanavat!Q18)</f>
        <v>0</v>
      </c>
      <c r="F159" s="97">
        <f>SUM(E159*2.16)</f>
        <v>0</v>
      </c>
      <c r="G159" s="13">
        <v>5.28</v>
      </c>
      <c r="H159" s="304">
        <f>SUM(Suorakaidekanavat!Q46)</f>
        <v>0</v>
      </c>
      <c r="I159" s="97">
        <f>SUM(H159*5.28)</f>
        <v>0</v>
      </c>
      <c r="J159" s="39">
        <v>1</v>
      </c>
      <c r="K159" s="179">
        <f>SUM(Suorakaidekanavat!Q74)</f>
        <v>0</v>
      </c>
      <c r="L159" s="97">
        <f t="shared" si="6"/>
        <v>0</v>
      </c>
      <c r="M159" s="176">
        <v>2</v>
      </c>
      <c r="N159" s="179">
        <f>SUM(Suorakaidekanavat!Q102)</f>
        <v>0</v>
      </c>
      <c r="O159" s="97">
        <f t="shared" si="7"/>
        <v>0</v>
      </c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</row>
    <row r="160" spans="1:52" ht="15.75" customHeight="1" x14ac:dyDescent="0.25">
      <c r="A160" s="41"/>
      <c r="C160" s="15" t="s">
        <v>181</v>
      </c>
      <c r="D160" s="39">
        <v>2.25</v>
      </c>
      <c r="E160" s="304">
        <f>SUM(Suorakaidekanavat!Q19)</f>
        <v>0</v>
      </c>
      <c r="F160" s="97">
        <f>SUM(E160*2.25)</f>
        <v>0</v>
      </c>
      <c r="G160" s="22">
        <v>5.5</v>
      </c>
      <c r="H160" s="304">
        <f>SUM(Suorakaidekanavat!Q47)</f>
        <v>0</v>
      </c>
      <c r="I160" s="97">
        <f>SUM(H160*5.5)</f>
        <v>0</v>
      </c>
      <c r="J160" s="39">
        <v>1</v>
      </c>
      <c r="K160" s="179">
        <f>SUM(Suorakaidekanavat!Q75)</f>
        <v>0</v>
      </c>
      <c r="L160" s="97">
        <f t="shared" si="6"/>
        <v>0</v>
      </c>
      <c r="M160" s="176">
        <v>2</v>
      </c>
      <c r="N160" s="179">
        <f>SUM(Suorakaidekanavat!Q103)</f>
        <v>0</v>
      </c>
      <c r="O160" s="97">
        <f t="shared" si="7"/>
        <v>0</v>
      </c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</row>
    <row r="161" spans="1:52" ht="15.75" customHeight="1" x14ac:dyDescent="0.25">
      <c r="A161" s="41"/>
      <c r="C161" s="15" t="s">
        <v>182</v>
      </c>
      <c r="D161" s="39">
        <v>2.4300000000000002</v>
      </c>
      <c r="E161" s="304">
        <f>SUM(Suorakaidekanavat!Q20)</f>
        <v>0</v>
      </c>
      <c r="F161" s="97">
        <f>SUM(E161*2.43)</f>
        <v>0</v>
      </c>
      <c r="G161" s="13">
        <v>5.94</v>
      </c>
      <c r="H161" s="304">
        <f>SUM(Suorakaidekanavat!Q48)</f>
        <v>0</v>
      </c>
      <c r="I161" s="97">
        <f>SUM(H161*5.94)</f>
        <v>0</v>
      </c>
      <c r="J161" s="39">
        <v>1</v>
      </c>
      <c r="K161" s="179">
        <f>SUM(Suorakaidekanavat!Q76)</f>
        <v>0</v>
      </c>
      <c r="L161" s="97">
        <f t="shared" si="6"/>
        <v>0</v>
      </c>
      <c r="M161" s="176">
        <v>2</v>
      </c>
      <c r="N161" s="179">
        <f>SUM(Suorakaidekanavat!Q104)</f>
        <v>0</v>
      </c>
      <c r="O161" s="97">
        <f t="shared" si="7"/>
        <v>0</v>
      </c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</row>
    <row r="162" spans="1:52" ht="15.75" customHeight="1" x14ac:dyDescent="0.25">
      <c r="A162" s="41"/>
      <c r="B162" s="16"/>
      <c r="C162" s="16" t="s">
        <v>183</v>
      </c>
      <c r="D162" s="39">
        <v>2.61</v>
      </c>
      <c r="E162" s="304">
        <f>SUM(Suorakaidekanavat!Q21)</f>
        <v>0</v>
      </c>
      <c r="F162" s="97">
        <f>SUM(E162*2.61)</f>
        <v>0</v>
      </c>
      <c r="G162" s="13">
        <v>6.38</v>
      </c>
      <c r="H162" s="304">
        <f>SUM(Suorakaidekanavat!Q49)</f>
        <v>0</v>
      </c>
      <c r="I162" s="97">
        <f>SUM(H162*6.38)</f>
        <v>0</v>
      </c>
      <c r="J162" s="39">
        <v>1</v>
      </c>
      <c r="K162" s="179">
        <f>SUM(Suorakaidekanavat!Q77)</f>
        <v>0</v>
      </c>
      <c r="L162" s="97">
        <f t="shared" si="6"/>
        <v>0</v>
      </c>
      <c r="M162" s="176">
        <v>2</v>
      </c>
      <c r="N162" s="179">
        <f>SUM(Suorakaidekanavat!Q105)</f>
        <v>0</v>
      </c>
      <c r="O162" s="97">
        <f t="shared" si="7"/>
        <v>0</v>
      </c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</row>
    <row r="163" spans="1:52" ht="15.75" customHeight="1" x14ac:dyDescent="0.25">
      <c r="A163" s="41"/>
      <c r="B163" s="24" t="s">
        <v>184</v>
      </c>
      <c r="C163" s="24" t="s">
        <v>185</v>
      </c>
      <c r="D163" s="39">
        <v>2.7</v>
      </c>
      <c r="E163" s="304">
        <f>SUM(Suorakaidekanavat!Q22)</f>
        <v>0</v>
      </c>
      <c r="F163" s="97">
        <f>SUM(E163*2.7)</f>
        <v>0</v>
      </c>
      <c r="G163" s="22">
        <v>6.6</v>
      </c>
      <c r="H163" s="304">
        <f>SUM(Suorakaidekanavat!Q50)</f>
        <v>0</v>
      </c>
      <c r="I163" s="97">
        <f>SUM(H163*6.6)</f>
        <v>0</v>
      </c>
      <c r="J163" s="39">
        <v>1</v>
      </c>
      <c r="K163" s="179">
        <f>SUM(Suorakaidekanavat!Q78)</f>
        <v>0</v>
      </c>
      <c r="L163" s="97">
        <f t="shared" si="6"/>
        <v>0</v>
      </c>
      <c r="M163" s="176">
        <v>2</v>
      </c>
      <c r="N163" s="179">
        <f>SUM(Suorakaidekanavat!Q106)</f>
        <v>0</v>
      </c>
      <c r="O163" s="97">
        <f t="shared" si="7"/>
        <v>0</v>
      </c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</row>
    <row r="164" spans="1:52" ht="15.75" customHeight="1" x14ac:dyDescent="0.25">
      <c r="A164" s="41"/>
      <c r="C164" s="15" t="s">
        <v>186</v>
      </c>
      <c r="D164" s="39">
        <v>2.88</v>
      </c>
      <c r="E164" s="304">
        <f>SUM(Suorakaidekanavat!Q23)</f>
        <v>0</v>
      </c>
      <c r="F164" s="97">
        <f>SUM(E164*2.88)</f>
        <v>0</v>
      </c>
      <c r="G164" s="13">
        <v>7.04</v>
      </c>
      <c r="H164" s="304">
        <f>SUM(Suorakaidekanavat!Q51)</f>
        <v>0</v>
      </c>
      <c r="I164" s="97">
        <f>SUM(H164*7.04)</f>
        <v>0</v>
      </c>
      <c r="J164" s="39">
        <v>1.25</v>
      </c>
      <c r="K164" s="179">
        <f>SUM(Suorakaidekanavat!Q79)</f>
        <v>0</v>
      </c>
      <c r="L164" s="97">
        <f>SUM(K164*1.25)</f>
        <v>0</v>
      </c>
      <c r="M164" s="13">
        <v>2.5</v>
      </c>
      <c r="N164" s="179">
        <f>SUM(Suorakaidekanavat!Q107)</f>
        <v>0</v>
      </c>
      <c r="O164" s="97">
        <f>SUM(N164*2.5)</f>
        <v>0</v>
      </c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</row>
    <row r="165" spans="1:52" ht="15" customHeight="1" x14ac:dyDescent="0.25">
      <c r="A165" s="41"/>
      <c r="C165" s="15" t="s">
        <v>187</v>
      </c>
      <c r="D165" s="39">
        <v>3.06</v>
      </c>
      <c r="E165" s="304">
        <f>SUM(Suorakaidekanavat!Q24)</f>
        <v>0</v>
      </c>
      <c r="F165" s="97">
        <f>SUM(E165*3.06)</f>
        <v>0</v>
      </c>
      <c r="G165" s="13">
        <v>7.48</v>
      </c>
      <c r="H165" s="304">
        <f>SUM(Suorakaidekanavat!Q52)</f>
        <v>0</v>
      </c>
      <c r="I165" s="97">
        <f>SUM(H165*7.48)</f>
        <v>0</v>
      </c>
      <c r="J165" s="39">
        <v>1.25</v>
      </c>
      <c r="K165" s="179">
        <f>SUM(Suorakaidekanavat!Q80)</f>
        <v>0</v>
      </c>
      <c r="L165" s="97">
        <f>SUM(K165*1.25)</f>
        <v>0</v>
      </c>
      <c r="M165" s="13">
        <v>2.5</v>
      </c>
      <c r="N165" s="179">
        <f>SUM(Suorakaidekanavat!Q108)</f>
        <v>0</v>
      </c>
      <c r="O165" s="97">
        <f>SUM(N165*2.5)</f>
        <v>0</v>
      </c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</row>
    <row r="166" spans="1:52" ht="15.75" customHeight="1" x14ac:dyDescent="0.25">
      <c r="A166" s="41"/>
      <c r="C166" s="15" t="s">
        <v>188</v>
      </c>
      <c r="D166" s="39">
        <v>3.24</v>
      </c>
      <c r="E166" s="304">
        <f>SUM(Suorakaidekanavat!Q25)</f>
        <v>0</v>
      </c>
      <c r="F166" s="97">
        <f>SUM(E166*3.24)</f>
        <v>0</v>
      </c>
      <c r="G166" s="13">
        <v>7.92</v>
      </c>
      <c r="H166" s="304">
        <f>SUM(Suorakaidekanavat!Q53)</f>
        <v>0</v>
      </c>
      <c r="I166" s="97">
        <f>SUM(H166*7.92)</f>
        <v>0</v>
      </c>
      <c r="J166" s="39">
        <v>1.25</v>
      </c>
      <c r="K166" s="179">
        <f>SUM(Suorakaidekanavat!Q81)</f>
        <v>0</v>
      </c>
      <c r="L166" s="97">
        <f>SUM(K166*1.25)</f>
        <v>0</v>
      </c>
      <c r="M166" s="13">
        <v>2.5</v>
      </c>
      <c r="N166" s="179">
        <f>SUM(Suorakaidekanavat!Q109)</f>
        <v>0</v>
      </c>
      <c r="O166" s="97">
        <f>SUM(N166*2.5)</f>
        <v>0</v>
      </c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</row>
    <row r="167" spans="1:52" ht="15.75" customHeight="1" x14ac:dyDescent="0.25">
      <c r="A167" s="41"/>
      <c r="B167" s="16"/>
      <c r="C167" s="16" t="s">
        <v>189</v>
      </c>
      <c r="D167" s="39">
        <v>3.42</v>
      </c>
      <c r="E167" s="304">
        <f>SUM(Suorakaidekanavat!Q26)</f>
        <v>0</v>
      </c>
      <c r="F167" s="97">
        <f>SUM(E167*3.42)</f>
        <v>0</v>
      </c>
      <c r="G167" s="13">
        <v>8.36</v>
      </c>
      <c r="H167" s="304">
        <f>SUM(Suorakaidekanavat!Q54)</f>
        <v>0</v>
      </c>
      <c r="I167" s="97">
        <f>SUM(H167*8.36)</f>
        <v>0</v>
      </c>
      <c r="J167" s="39">
        <v>1.25</v>
      </c>
      <c r="K167" s="179">
        <f>SUM(Suorakaidekanavat!Q82)</f>
        <v>0</v>
      </c>
      <c r="L167" s="97">
        <f>SUM(K167*1.25)</f>
        <v>0</v>
      </c>
      <c r="M167" s="13">
        <v>2.5</v>
      </c>
      <c r="N167" s="179">
        <f>SUM(Suorakaidekanavat!Q110)</f>
        <v>0</v>
      </c>
      <c r="O167" s="97">
        <f>SUM(N167*2.5)</f>
        <v>0</v>
      </c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</row>
    <row r="168" spans="1:52" ht="15.75" customHeight="1" x14ac:dyDescent="0.25">
      <c r="A168" s="41"/>
      <c r="B168" s="52" t="s">
        <v>190</v>
      </c>
      <c r="C168" s="52" t="s">
        <v>191</v>
      </c>
      <c r="D168" s="39">
        <v>3.6</v>
      </c>
      <c r="E168" s="304">
        <f>SUM(Suorakaidekanavat!Q27)</f>
        <v>0</v>
      </c>
      <c r="F168" s="97">
        <f>SUM(E168*3.6)</f>
        <v>0</v>
      </c>
      <c r="G168" s="22">
        <v>8.8000000000000007</v>
      </c>
      <c r="H168" s="304">
        <f>SUM(Suorakaidekanavat!Q55)</f>
        <v>0</v>
      </c>
      <c r="I168" s="97">
        <f>SUM(H168*8.8)</f>
        <v>0</v>
      </c>
      <c r="J168" s="39">
        <v>1.25</v>
      </c>
      <c r="K168" s="179">
        <f>SUM(Suorakaidekanavat!Q83)</f>
        <v>0</v>
      </c>
      <c r="L168" s="97">
        <f>SUM(K168*1.25)</f>
        <v>0</v>
      </c>
      <c r="M168" s="13">
        <v>2.5</v>
      </c>
      <c r="N168" s="179">
        <f>SUM(Suorakaidekanavat!Q111)</f>
        <v>0</v>
      </c>
      <c r="O168" s="97">
        <f>SUM(N168*2.5)</f>
        <v>0</v>
      </c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</row>
    <row r="169" spans="1:52" ht="15.75" customHeight="1" thickBot="1" x14ac:dyDescent="0.35">
      <c r="B169" s="5"/>
      <c r="C169" s="5"/>
      <c r="D169" s="46"/>
      <c r="E169" s="171" t="s">
        <v>0</v>
      </c>
      <c r="F169" s="678">
        <f>SUM(F146:F168)</f>
        <v>0</v>
      </c>
      <c r="G169" s="89"/>
      <c r="H169" s="171" t="s">
        <v>0</v>
      </c>
      <c r="I169" s="678">
        <f>SUM(I146:I168)</f>
        <v>0</v>
      </c>
      <c r="J169" s="89"/>
      <c r="K169" s="171" t="s">
        <v>0</v>
      </c>
      <c r="L169" s="678">
        <f>SUM(L146:L168)</f>
        <v>0</v>
      </c>
      <c r="M169" s="89"/>
      <c r="N169" s="171" t="s">
        <v>0</v>
      </c>
      <c r="O169" s="678">
        <f>SUM(O146:O168)</f>
        <v>0</v>
      </c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</row>
    <row r="170" spans="1:52" ht="15.75" customHeight="1" x14ac:dyDescent="0.25">
      <c r="B170" s="80" t="s">
        <v>245</v>
      </c>
      <c r="C170" s="5"/>
      <c r="D170" s="46"/>
      <c r="E170" s="5"/>
      <c r="F170" s="46"/>
      <c r="G170" s="5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</row>
    <row r="171" spans="1:52" ht="15.75" customHeight="1" x14ac:dyDescent="0.25">
      <c r="B171" s="80" t="s">
        <v>246</v>
      </c>
      <c r="C171" s="5"/>
      <c r="D171" s="46"/>
      <c r="E171" s="5"/>
      <c r="F171" s="46"/>
      <c r="G171" s="5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</row>
    <row r="172" spans="1:52" ht="15.75" customHeight="1" x14ac:dyDescent="0.25">
      <c r="B172" s="80" t="s">
        <v>247</v>
      </c>
      <c r="C172" s="5"/>
      <c r="D172" s="46"/>
      <c r="E172" s="5"/>
      <c r="F172" s="46"/>
      <c r="G172" s="5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</row>
    <row r="173" spans="1:52" ht="15" customHeight="1" thickBot="1" x14ac:dyDescent="0.35">
      <c r="B173" s="5" t="s">
        <v>241</v>
      </c>
      <c r="C173" s="5"/>
      <c r="D173" s="46"/>
      <c r="E173" s="5"/>
      <c r="F173" s="46"/>
      <c r="G173" s="5"/>
      <c r="O173" s="59"/>
      <c r="P173" s="89" t="s">
        <v>220</v>
      </c>
      <c r="Q173" s="89" t="s">
        <v>0</v>
      </c>
      <c r="R173" s="663">
        <f>SUM(F169+I169+L169+O169+R147)</f>
        <v>0</v>
      </c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</row>
    <row r="174" spans="1:52" ht="12.5" x14ac:dyDescent="0.25">
      <c r="B174" s="80" t="s">
        <v>248</v>
      </c>
      <c r="C174" s="5"/>
      <c r="D174" s="46"/>
      <c r="E174" s="5"/>
      <c r="F174" s="46"/>
      <c r="G174" s="5"/>
      <c r="S174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</row>
    <row r="175" spans="1:52" x14ac:dyDescent="0.65"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</row>
    <row r="176" spans="1:52" ht="18" x14ac:dyDescent="0.4">
      <c r="A176" s="397" t="s">
        <v>522</v>
      </c>
      <c r="C176" s="46"/>
      <c r="D176" s="5"/>
      <c r="E176" s="46"/>
      <c r="F176" s="5"/>
      <c r="G176" s="5"/>
      <c r="J176" s="326" t="s">
        <v>234</v>
      </c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</row>
    <row r="177" spans="1:52" ht="15.5" x14ac:dyDescent="0.35">
      <c r="A177" s="425" t="s">
        <v>396</v>
      </c>
      <c r="C177" s="46"/>
      <c r="D177" s="5"/>
      <c r="E177" s="46"/>
      <c r="F177" s="5"/>
      <c r="G177" s="5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</row>
    <row r="178" spans="1:52" ht="15.5" x14ac:dyDescent="0.35">
      <c r="B178" s="35"/>
      <c r="C178" s="46"/>
      <c r="D178" s="5"/>
      <c r="E178" s="46"/>
      <c r="F178" s="5"/>
      <c r="G178" s="5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</row>
    <row r="179" spans="1:52" ht="12.5" x14ac:dyDescent="0.25">
      <c r="B179" s="5"/>
      <c r="C179" s="46"/>
      <c r="D179" s="5"/>
      <c r="E179" s="46"/>
      <c r="F179" s="5"/>
      <c r="G179" s="5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</row>
    <row r="180" spans="1:52" ht="12.5" x14ac:dyDescent="0.25">
      <c r="B180" s="5"/>
      <c r="C180" s="46"/>
      <c r="D180" s="5"/>
      <c r="E180" s="46"/>
      <c r="F180" s="5"/>
      <c r="G180" s="5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</row>
    <row r="181" spans="1:52" ht="12.5" x14ac:dyDescent="0.25">
      <c r="B181" s="5"/>
      <c r="C181" s="46"/>
      <c r="D181" s="5"/>
      <c r="E181" s="46"/>
      <c r="F181" s="5"/>
      <c r="G181" s="5"/>
      <c r="T181" s="109"/>
      <c r="U181" s="109"/>
      <c r="V181" s="215"/>
      <c r="W181" s="109"/>
      <c r="X181" s="215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</row>
    <row r="182" spans="1:52" ht="12.5" x14ac:dyDescent="0.25">
      <c r="A182" s="61" t="s">
        <v>192</v>
      </c>
      <c r="B182" s="395"/>
      <c r="C182" s="2"/>
      <c r="D182" s="42"/>
      <c r="E182" s="2"/>
      <c r="F182" s="42"/>
      <c r="G182" s="2" t="s">
        <v>193</v>
      </c>
      <c r="H182" s="2"/>
      <c r="I182" s="2"/>
      <c r="J182" s="2"/>
      <c r="K182" s="2"/>
      <c r="L182" s="2"/>
      <c r="M182" s="11"/>
      <c r="T182" s="109"/>
      <c r="U182" s="109"/>
      <c r="V182" s="215"/>
      <c r="W182" s="109"/>
      <c r="X182" s="215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</row>
    <row r="183" spans="1:52" ht="12.5" x14ac:dyDescent="0.25">
      <c r="A183" s="20" t="s">
        <v>1</v>
      </c>
      <c r="B183" s="16">
        <v>100</v>
      </c>
      <c r="C183" s="16">
        <v>150</v>
      </c>
      <c r="D183" s="68">
        <v>200</v>
      </c>
      <c r="E183" s="16">
        <v>250</v>
      </c>
      <c r="F183" s="68">
        <v>300</v>
      </c>
      <c r="G183" s="16">
        <v>400</v>
      </c>
      <c r="H183" s="16">
        <v>500</v>
      </c>
      <c r="I183" s="16">
        <v>600</v>
      </c>
      <c r="J183" s="16">
        <v>800</v>
      </c>
      <c r="K183" s="16">
        <v>1000</v>
      </c>
      <c r="L183" s="16">
        <v>1200</v>
      </c>
      <c r="M183" s="58">
        <v>1500</v>
      </c>
      <c r="T183" s="109"/>
      <c r="U183" s="109"/>
      <c r="V183" s="215"/>
      <c r="W183" s="109"/>
      <c r="X183" s="215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</row>
    <row r="184" spans="1:52" ht="12.5" x14ac:dyDescent="0.25">
      <c r="A184" s="20">
        <v>200</v>
      </c>
      <c r="B184" s="70"/>
      <c r="C184" s="70"/>
      <c r="D184" s="71"/>
      <c r="E184" s="70"/>
      <c r="F184" s="71" t="s">
        <v>194</v>
      </c>
      <c r="G184" s="2"/>
      <c r="H184" s="2"/>
      <c r="I184" s="2"/>
      <c r="J184" s="2"/>
      <c r="K184" s="2"/>
      <c r="L184" s="2"/>
      <c r="M184" s="11"/>
      <c r="T184" s="109"/>
      <c r="U184" s="109"/>
      <c r="V184" s="215"/>
      <c r="W184" s="109"/>
      <c r="X184" s="215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</row>
    <row r="185" spans="1:52" ht="12.5" x14ac:dyDescent="0.25">
      <c r="A185" s="20">
        <v>250</v>
      </c>
      <c r="B185" s="49"/>
      <c r="C185" s="49"/>
      <c r="D185" s="50"/>
      <c r="E185" s="49"/>
      <c r="F185" s="46"/>
      <c r="G185" s="5"/>
      <c r="M185" s="41"/>
      <c r="T185" s="109"/>
      <c r="U185" s="109"/>
      <c r="V185" s="215"/>
      <c r="W185" s="109"/>
      <c r="X185" s="215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</row>
    <row r="186" spans="1:52" ht="12.5" x14ac:dyDescent="0.25">
      <c r="A186" s="20">
        <v>300</v>
      </c>
      <c r="B186" s="72"/>
      <c r="C186" s="72"/>
      <c r="D186" s="51" t="s">
        <v>194</v>
      </c>
      <c r="E186" s="16" t="s">
        <v>195</v>
      </c>
      <c r="F186" s="45" t="s">
        <v>171</v>
      </c>
      <c r="G186" s="5"/>
      <c r="M186" s="41"/>
      <c r="T186" s="109"/>
      <c r="U186" s="109"/>
      <c r="V186" s="215"/>
      <c r="W186" s="109"/>
      <c r="X186" s="215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</row>
    <row r="187" spans="1:52" ht="12.5" x14ac:dyDescent="0.25">
      <c r="A187" s="20">
        <v>400</v>
      </c>
      <c r="B187" s="396" t="s">
        <v>194</v>
      </c>
      <c r="C187" s="15" t="s">
        <v>195</v>
      </c>
      <c r="D187" s="46" t="s">
        <v>168</v>
      </c>
      <c r="E187" s="15" t="s">
        <v>196</v>
      </c>
      <c r="F187" s="46" t="s">
        <v>169</v>
      </c>
      <c r="G187" s="15" t="s">
        <v>170</v>
      </c>
      <c r="H187" s="15"/>
      <c r="I187" s="15"/>
      <c r="J187" s="15"/>
      <c r="K187" s="15"/>
      <c r="L187" s="15"/>
      <c r="M187" s="65"/>
      <c r="T187" s="109"/>
      <c r="U187" s="109"/>
      <c r="V187" s="215"/>
      <c r="W187" s="109"/>
      <c r="X187" s="215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</row>
    <row r="188" spans="1:52" ht="12.5" x14ac:dyDescent="0.25">
      <c r="A188" s="20">
        <v>500</v>
      </c>
      <c r="B188" s="16" t="s">
        <v>168</v>
      </c>
      <c r="C188" s="16" t="s">
        <v>196</v>
      </c>
      <c r="D188" s="45" t="s">
        <v>169</v>
      </c>
      <c r="E188" s="16" t="s">
        <v>197</v>
      </c>
      <c r="F188" s="45" t="s">
        <v>170</v>
      </c>
      <c r="G188" s="16" t="s">
        <v>171</v>
      </c>
      <c r="H188" s="16" t="s">
        <v>172</v>
      </c>
      <c r="I188" s="67"/>
      <c r="J188" s="67"/>
      <c r="K188" s="67"/>
      <c r="L188" s="67"/>
      <c r="M188" s="58" t="s">
        <v>178</v>
      </c>
      <c r="T188" s="109"/>
      <c r="U188" s="109"/>
      <c r="V188" s="215"/>
      <c r="W188" s="109"/>
      <c r="X188" s="215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</row>
    <row r="189" spans="1:52" ht="12.5" x14ac:dyDescent="0.25">
      <c r="A189" s="20">
        <v>600</v>
      </c>
      <c r="B189" s="15" t="s">
        <v>169</v>
      </c>
      <c r="C189" s="15" t="s">
        <v>197</v>
      </c>
      <c r="D189" s="46" t="s">
        <v>170</v>
      </c>
      <c r="E189" s="15" t="s">
        <v>198</v>
      </c>
      <c r="F189" s="46" t="s">
        <v>171</v>
      </c>
      <c r="G189" s="15" t="s">
        <v>172</v>
      </c>
      <c r="H189" s="15" t="s">
        <v>199</v>
      </c>
      <c r="I189" s="15" t="s">
        <v>173</v>
      </c>
      <c r="J189" s="15"/>
      <c r="K189" s="15"/>
      <c r="L189" s="15"/>
      <c r="M189" s="65"/>
      <c r="T189" s="109"/>
      <c r="U189" s="109"/>
      <c r="V189" s="215"/>
      <c r="W189" s="109"/>
      <c r="X189" s="215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</row>
    <row r="190" spans="1:52" ht="12.5" x14ac:dyDescent="0.25">
      <c r="A190" s="20">
        <v>800</v>
      </c>
      <c r="B190" s="16" t="s">
        <v>171</v>
      </c>
      <c r="C190" s="16" t="s">
        <v>200</v>
      </c>
      <c r="D190" s="45" t="s">
        <v>172</v>
      </c>
      <c r="E190" s="16" t="s">
        <v>201</v>
      </c>
      <c r="F190" s="45" t="s">
        <v>199</v>
      </c>
      <c r="G190" s="16" t="s">
        <v>173</v>
      </c>
      <c r="H190" s="16" t="s">
        <v>202</v>
      </c>
      <c r="I190" s="16" t="s">
        <v>174</v>
      </c>
      <c r="J190" s="16" t="s">
        <v>175</v>
      </c>
      <c r="K190" s="15"/>
      <c r="L190" s="16"/>
      <c r="M190" s="65"/>
      <c r="T190" s="109"/>
      <c r="U190" s="109"/>
      <c r="V190" s="215"/>
      <c r="W190" s="109"/>
      <c r="X190" s="215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</row>
    <row r="191" spans="1:52" ht="12.5" x14ac:dyDescent="0.25">
      <c r="A191" s="20">
        <v>1000</v>
      </c>
      <c r="B191" s="5"/>
      <c r="C191" s="5"/>
      <c r="D191" s="46" t="s">
        <v>173</v>
      </c>
      <c r="E191" s="15" t="s">
        <v>203</v>
      </c>
      <c r="F191" s="46" t="s">
        <v>202</v>
      </c>
      <c r="G191" s="15" t="s">
        <v>174</v>
      </c>
      <c r="H191" s="15" t="s">
        <v>204</v>
      </c>
      <c r="I191" s="15" t="s">
        <v>175</v>
      </c>
      <c r="J191" s="15" t="s">
        <v>176</v>
      </c>
      <c r="K191" s="16" t="s">
        <v>178</v>
      </c>
      <c r="L191" s="15"/>
      <c r="M191" s="65" t="s">
        <v>181</v>
      </c>
      <c r="T191" s="109"/>
      <c r="U191" s="109"/>
      <c r="V191" s="215"/>
      <c r="W191" s="109"/>
      <c r="X191" s="215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</row>
    <row r="192" spans="1:52" ht="12.5" x14ac:dyDescent="0.25">
      <c r="A192" s="20">
        <v>1200</v>
      </c>
      <c r="B192" s="5"/>
      <c r="C192" s="5"/>
      <c r="D192" s="46"/>
      <c r="E192" s="5"/>
      <c r="F192" s="46" t="s">
        <v>204</v>
      </c>
      <c r="G192" s="15" t="s">
        <v>175</v>
      </c>
      <c r="H192" s="15" t="s">
        <v>205</v>
      </c>
      <c r="I192" s="15" t="s">
        <v>176</v>
      </c>
      <c r="J192" s="16" t="s">
        <v>178</v>
      </c>
      <c r="K192" s="15" t="s">
        <v>179</v>
      </c>
      <c r="L192" s="15" t="s">
        <v>180</v>
      </c>
      <c r="M192" s="65" t="s">
        <v>182</v>
      </c>
      <c r="T192" s="109"/>
      <c r="U192" s="109"/>
      <c r="V192" s="215"/>
      <c r="W192" s="109"/>
      <c r="X192" s="215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</row>
    <row r="193" spans="1:52" ht="12.5" x14ac:dyDescent="0.25">
      <c r="A193" s="20">
        <v>1400</v>
      </c>
      <c r="B193" s="66"/>
      <c r="C193" s="66"/>
      <c r="D193" s="69"/>
      <c r="E193" s="66"/>
      <c r="F193" s="69"/>
      <c r="G193" s="67"/>
      <c r="H193" s="16" t="s">
        <v>177</v>
      </c>
      <c r="I193" s="16" t="s">
        <v>178</v>
      </c>
      <c r="J193" s="15" t="s">
        <v>179</v>
      </c>
      <c r="K193" s="15" t="s">
        <v>180</v>
      </c>
      <c r="L193" s="15" t="s">
        <v>206</v>
      </c>
      <c r="M193" s="65" t="s">
        <v>183</v>
      </c>
      <c r="T193" s="109"/>
      <c r="U193" s="109"/>
      <c r="V193" s="215"/>
      <c r="W193" s="109"/>
      <c r="X193" s="215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</row>
    <row r="194" spans="1:52" ht="12.5" x14ac:dyDescent="0.25">
      <c r="A194" s="20">
        <v>1600</v>
      </c>
      <c r="B194" s="5"/>
      <c r="C194" s="5"/>
      <c r="D194" s="46"/>
      <c r="E194" s="5"/>
      <c r="F194" s="46"/>
      <c r="G194" s="15"/>
      <c r="H194" s="15"/>
      <c r="I194" s="15"/>
      <c r="J194" s="24" t="s">
        <v>180</v>
      </c>
      <c r="K194" s="24" t="s">
        <v>206</v>
      </c>
      <c r="L194" s="24" t="s">
        <v>207</v>
      </c>
      <c r="M194" s="10" t="s">
        <v>208</v>
      </c>
      <c r="T194" s="109"/>
      <c r="U194" s="109"/>
      <c r="V194" s="215"/>
      <c r="W194" s="109"/>
      <c r="X194" s="215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</row>
    <row r="195" spans="1:52" ht="12.5" x14ac:dyDescent="0.25">
      <c r="A195" s="20">
        <v>1800</v>
      </c>
      <c r="B195" s="5"/>
      <c r="C195" s="5"/>
      <c r="D195" s="46"/>
      <c r="E195" s="5"/>
      <c r="F195" s="46"/>
      <c r="G195" s="15"/>
      <c r="H195" s="15"/>
      <c r="I195" s="15"/>
      <c r="J195" s="15" t="s">
        <v>206</v>
      </c>
      <c r="K195" s="15" t="s">
        <v>207</v>
      </c>
      <c r="L195" s="15" t="s">
        <v>185</v>
      </c>
      <c r="M195" s="65" t="s">
        <v>209</v>
      </c>
      <c r="T195" s="109"/>
      <c r="U195" s="109"/>
      <c r="V195" s="215"/>
      <c r="W195" s="109"/>
      <c r="X195" s="215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</row>
    <row r="196" spans="1:52" ht="12.5" x14ac:dyDescent="0.25">
      <c r="A196" s="20">
        <v>2000</v>
      </c>
      <c r="B196" s="66"/>
      <c r="C196" s="66"/>
      <c r="D196" s="69"/>
      <c r="E196" s="66"/>
      <c r="F196" s="69"/>
      <c r="G196" s="67"/>
      <c r="H196" s="16" t="s">
        <v>181</v>
      </c>
      <c r="I196" s="67"/>
      <c r="J196" s="16" t="s">
        <v>207</v>
      </c>
      <c r="K196" s="16" t="s">
        <v>185</v>
      </c>
      <c r="L196" s="16" t="s">
        <v>186</v>
      </c>
      <c r="M196" s="58" t="s">
        <v>210</v>
      </c>
      <c r="T196" s="109"/>
      <c r="U196" s="109"/>
      <c r="V196" s="215"/>
      <c r="W196" s="109"/>
      <c r="X196" s="215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</row>
    <row r="197" spans="1:52" ht="12.5" x14ac:dyDescent="0.25">
      <c r="A197" s="20">
        <v>2400</v>
      </c>
      <c r="B197" s="5"/>
      <c r="C197" s="5"/>
      <c r="D197" s="46"/>
      <c r="E197" s="5"/>
      <c r="F197" s="46"/>
      <c r="G197" s="15"/>
      <c r="H197" s="15"/>
      <c r="I197" s="15"/>
      <c r="J197" s="15"/>
      <c r="K197" s="24" t="s">
        <v>187</v>
      </c>
      <c r="L197" s="24" t="s">
        <v>188</v>
      </c>
      <c r="M197" s="10" t="s">
        <v>211</v>
      </c>
      <c r="T197" s="109"/>
      <c r="U197" s="109"/>
      <c r="V197" s="215"/>
      <c r="W197" s="109"/>
      <c r="X197" s="215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</row>
    <row r="198" spans="1:52" ht="12.5" x14ac:dyDescent="0.25">
      <c r="A198" s="20">
        <v>2800</v>
      </c>
      <c r="B198" s="5"/>
      <c r="C198" s="5"/>
      <c r="D198" s="46"/>
      <c r="E198" s="5"/>
      <c r="F198" s="46"/>
      <c r="G198" s="15"/>
      <c r="H198" s="15"/>
      <c r="I198" s="15"/>
      <c r="J198" s="15"/>
      <c r="K198" s="15" t="s">
        <v>189</v>
      </c>
      <c r="L198" s="15" t="s">
        <v>191</v>
      </c>
      <c r="M198" s="65" t="s">
        <v>212</v>
      </c>
      <c r="T198" s="109"/>
      <c r="U198" s="109"/>
      <c r="V198" s="215"/>
      <c r="W198" s="109"/>
      <c r="X198" s="215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</row>
    <row r="199" spans="1:52" ht="12.5" x14ac:dyDescent="0.25">
      <c r="A199" s="20">
        <v>3000</v>
      </c>
      <c r="B199" s="66"/>
      <c r="C199" s="66"/>
      <c r="D199" s="69"/>
      <c r="E199" s="66"/>
      <c r="F199" s="69"/>
      <c r="G199" s="67"/>
      <c r="H199" s="16" t="s">
        <v>210</v>
      </c>
      <c r="I199" s="67"/>
      <c r="J199" s="67"/>
      <c r="K199" s="16" t="s">
        <v>191</v>
      </c>
      <c r="L199" s="16" t="s">
        <v>213</v>
      </c>
      <c r="M199" s="58" t="s">
        <v>214</v>
      </c>
      <c r="T199" s="109"/>
      <c r="U199" s="109"/>
      <c r="V199" s="215"/>
      <c r="W199" s="109"/>
      <c r="X199" s="215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</row>
    <row r="200" spans="1:52" ht="12.5" x14ac:dyDescent="0.25">
      <c r="A200" s="23">
        <v>3200</v>
      </c>
      <c r="B200" s="17"/>
      <c r="C200" s="17"/>
      <c r="D200" s="45"/>
      <c r="E200" s="17"/>
      <c r="F200" s="45"/>
      <c r="G200" s="16"/>
      <c r="H200" s="16"/>
      <c r="I200" s="16"/>
      <c r="J200" s="16"/>
      <c r="K200" s="16" t="s">
        <v>213</v>
      </c>
      <c r="L200" s="16" t="s">
        <v>215</v>
      </c>
      <c r="M200" s="58" t="s">
        <v>216</v>
      </c>
      <c r="T200" s="109"/>
      <c r="U200" s="109"/>
      <c r="V200" s="215"/>
      <c r="W200" s="109"/>
      <c r="X200" s="215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</row>
    <row r="201" spans="1:52" ht="12.5" x14ac:dyDescent="0.25">
      <c r="B201" s="5"/>
      <c r="C201" s="46"/>
      <c r="D201" s="5"/>
      <c r="E201" s="46"/>
      <c r="F201" s="5"/>
      <c r="G201" s="5"/>
      <c r="T201" s="109"/>
      <c r="U201" s="109"/>
      <c r="V201" s="215"/>
      <c r="W201" s="109"/>
      <c r="X201" s="215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</row>
    <row r="202" spans="1:52" ht="12.5" x14ac:dyDescent="0.25">
      <c r="B202" s="5"/>
      <c r="C202" s="46"/>
      <c r="D202" s="5"/>
      <c r="E202" s="46"/>
      <c r="F202" s="5"/>
      <c r="G202" s="5"/>
      <c r="T202" s="109"/>
      <c r="U202" s="109"/>
      <c r="V202" s="215"/>
      <c r="W202" s="109"/>
      <c r="X202" s="215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</row>
    <row r="203" spans="1:52" ht="12.5" x14ac:dyDescent="0.25">
      <c r="B203" s="5"/>
      <c r="C203" s="46"/>
      <c r="D203" s="5"/>
      <c r="E203" s="46"/>
      <c r="F203" s="5"/>
      <c r="G203" s="5"/>
      <c r="T203" s="109"/>
      <c r="U203" s="109"/>
      <c r="V203" s="215"/>
      <c r="W203" s="109"/>
      <c r="X203" s="215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</row>
    <row r="204" spans="1:52" ht="12.5" x14ac:dyDescent="0.25">
      <c r="B204" s="5"/>
      <c r="C204" s="46"/>
      <c r="D204" s="5"/>
      <c r="E204" s="46"/>
      <c r="F204" s="5"/>
      <c r="G204" s="5"/>
      <c r="T204" s="109"/>
      <c r="U204" s="109"/>
      <c r="V204" s="215"/>
      <c r="W204" s="109"/>
      <c r="X204" s="215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</row>
    <row r="205" spans="1:52" ht="12.5" x14ac:dyDescent="0.25">
      <c r="B205" s="5"/>
      <c r="C205" s="46"/>
      <c r="D205" s="5"/>
      <c r="E205" s="46"/>
      <c r="F205" s="5"/>
      <c r="G205" s="5"/>
      <c r="T205" s="109"/>
      <c r="U205" s="109"/>
      <c r="V205" s="215"/>
      <c r="W205" s="109"/>
      <c r="X205" s="215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</row>
    <row r="206" spans="1:52" ht="15.5" x14ac:dyDescent="0.35">
      <c r="B206" s="35"/>
      <c r="C206" s="46"/>
      <c r="D206" s="5"/>
      <c r="E206" s="46"/>
      <c r="F206" s="5"/>
      <c r="G206" s="5"/>
      <c r="T206" s="109"/>
      <c r="U206" s="109"/>
      <c r="V206" s="215"/>
      <c r="W206" s="109"/>
      <c r="X206" s="215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</row>
    <row r="207" spans="1:52" ht="15.5" x14ac:dyDescent="0.35">
      <c r="B207" s="35"/>
      <c r="C207" s="46"/>
      <c r="D207" s="5"/>
      <c r="E207" s="46"/>
      <c r="F207" s="5"/>
      <c r="G207" s="5"/>
      <c r="T207" s="109"/>
      <c r="U207" s="109"/>
      <c r="V207" s="215"/>
      <c r="W207" s="109"/>
      <c r="X207" s="215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</row>
    <row r="208" spans="1:52" ht="15.5" x14ac:dyDescent="0.35">
      <c r="A208" s="35"/>
      <c r="B208" s="5"/>
      <c r="C208" s="46"/>
      <c r="D208" s="5"/>
      <c r="E208" s="46"/>
      <c r="F208" s="5"/>
      <c r="G208" s="5"/>
      <c r="T208" s="109"/>
      <c r="U208" s="109"/>
      <c r="V208" s="215"/>
      <c r="W208" s="109"/>
      <c r="X208" s="215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</row>
    <row r="209" spans="1:52" ht="12.5" x14ac:dyDescent="0.25">
      <c r="B209" s="5"/>
      <c r="C209" s="46"/>
      <c r="D209" s="5"/>
      <c r="E209" s="46"/>
      <c r="F209" s="5"/>
      <c r="G209" s="5"/>
      <c r="T209" s="109"/>
      <c r="U209" s="109"/>
      <c r="V209" s="215"/>
      <c r="W209" s="109"/>
      <c r="X209" s="215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</row>
    <row r="210" spans="1:52" ht="12.5" x14ac:dyDescent="0.25">
      <c r="B210" s="5"/>
      <c r="C210" s="46"/>
      <c r="D210" s="5"/>
      <c r="E210" s="46"/>
      <c r="F210" s="5"/>
      <c r="G210" s="5"/>
      <c r="T210" s="109"/>
      <c r="U210" s="109"/>
      <c r="V210" s="215"/>
      <c r="W210" s="109"/>
      <c r="X210" s="215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</row>
    <row r="211" spans="1:52" ht="12.5" x14ac:dyDescent="0.25">
      <c r="B211" s="5"/>
      <c r="C211" s="46"/>
      <c r="D211" s="5"/>
      <c r="E211" s="46"/>
      <c r="F211" s="5"/>
      <c r="G211" s="5"/>
      <c r="T211" s="109"/>
      <c r="U211" s="109"/>
      <c r="V211" s="215"/>
      <c r="W211" s="109"/>
      <c r="X211" s="215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</row>
    <row r="212" spans="1:52" ht="12.5" x14ac:dyDescent="0.25">
      <c r="B212" s="5"/>
      <c r="C212" s="46"/>
      <c r="D212" s="5"/>
      <c r="E212" s="46"/>
      <c r="F212" s="5"/>
      <c r="G212" s="5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</row>
    <row r="213" spans="1:52" ht="8.25" customHeight="1" x14ac:dyDescent="0.25">
      <c r="B213" s="5"/>
      <c r="C213" s="46"/>
      <c r="D213" s="5"/>
      <c r="E213" s="46"/>
      <c r="F213" s="5"/>
      <c r="G213" s="5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</row>
    <row r="214" spans="1:52" ht="18" customHeight="1" x14ac:dyDescent="0.25">
      <c r="B214" s="5"/>
      <c r="C214" s="46"/>
      <c r="D214" s="5"/>
      <c r="E214" s="46"/>
      <c r="F214" s="5"/>
      <c r="G214" s="5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</row>
    <row r="215" spans="1:52" ht="12" customHeight="1" x14ac:dyDescent="0.25">
      <c r="B215" s="5"/>
      <c r="C215" s="46"/>
      <c r="D215" s="5"/>
      <c r="E215" s="46"/>
      <c r="F215" s="5"/>
      <c r="G215" s="5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</row>
    <row r="216" spans="1:52" ht="12.5" x14ac:dyDescent="0.25">
      <c r="B216" s="5"/>
      <c r="C216" s="46"/>
      <c r="D216" s="5"/>
      <c r="E216" s="46"/>
      <c r="F216" s="5"/>
      <c r="G216" s="5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</row>
    <row r="217" spans="1:52" ht="15.5" x14ac:dyDescent="0.35">
      <c r="A217"/>
      <c r="B217" s="35" t="s">
        <v>521</v>
      </c>
      <c r="C217" s="5"/>
      <c r="D217" s="5"/>
      <c r="E217" s="5"/>
      <c r="F217" s="5"/>
      <c r="G217" s="5"/>
      <c r="J217" s="328" t="s">
        <v>234</v>
      </c>
      <c r="P217" s="25"/>
      <c r="R217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</row>
    <row r="218" spans="1:52" ht="12.5" x14ac:dyDescent="0.25">
      <c r="B218" s="5"/>
      <c r="C218" s="5"/>
      <c r="D218" s="5"/>
      <c r="E218" s="5"/>
      <c r="F218" s="5"/>
      <c r="G218" s="5"/>
      <c r="O218" s="15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</row>
    <row r="219" spans="1:52" ht="12.5" x14ac:dyDescent="0.25">
      <c r="B219" s="5"/>
      <c r="C219" s="5"/>
      <c r="D219" s="5"/>
      <c r="E219" s="5"/>
      <c r="F219" s="5"/>
      <c r="G219" s="5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</row>
    <row r="220" spans="1:52" ht="12.5" x14ac:dyDescent="0.25">
      <c r="B220" s="54"/>
      <c r="C220" s="54"/>
      <c r="D220" s="5"/>
      <c r="E220" s="5"/>
      <c r="F220" s="5"/>
      <c r="G220" s="5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</row>
    <row r="221" spans="1:52" ht="13" x14ac:dyDescent="0.3">
      <c r="A221" s="41"/>
      <c r="B221" s="398" t="s">
        <v>14</v>
      </c>
      <c r="C221" s="37"/>
      <c r="D221" s="154">
        <v>1</v>
      </c>
      <c r="E221" s="154"/>
      <c r="F221" s="156"/>
      <c r="G221" s="154">
        <v>2</v>
      </c>
      <c r="H221" s="154"/>
      <c r="I221" s="156"/>
      <c r="J221" s="154">
        <v>3</v>
      </c>
      <c r="K221" s="154"/>
      <c r="L221" s="156"/>
      <c r="M221" s="154">
        <v>4</v>
      </c>
      <c r="N221" s="154"/>
      <c r="O221" s="156"/>
      <c r="P221" s="154">
        <v>5</v>
      </c>
      <c r="Q221" s="11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</row>
    <row r="222" spans="1:52" ht="12.5" x14ac:dyDescent="0.25">
      <c r="A222" s="41"/>
      <c r="B222" s="399" t="s">
        <v>1</v>
      </c>
      <c r="C222" s="48" t="s">
        <v>0</v>
      </c>
      <c r="D222" s="82" t="s">
        <v>158</v>
      </c>
      <c r="E222" s="16" t="s">
        <v>0</v>
      </c>
      <c r="F222" s="48" t="s">
        <v>0</v>
      </c>
      <c r="G222" s="82" t="s">
        <v>158</v>
      </c>
      <c r="H222" s="16" t="s">
        <v>0</v>
      </c>
      <c r="I222" s="48" t="s">
        <v>0</v>
      </c>
      <c r="J222" s="82" t="s">
        <v>158</v>
      </c>
      <c r="K222" s="16" t="s">
        <v>0</v>
      </c>
      <c r="L222" s="48" t="s">
        <v>0</v>
      </c>
      <c r="M222" s="82" t="s">
        <v>158</v>
      </c>
      <c r="N222" s="16" t="s">
        <v>0</v>
      </c>
      <c r="O222" s="48" t="s">
        <v>0</v>
      </c>
      <c r="P222" s="82" t="s">
        <v>158</v>
      </c>
      <c r="Q222" s="58" t="s">
        <v>0</v>
      </c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</row>
    <row r="223" spans="1:52" ht="12.5" x14ac:dyDescent="0.25">
      <c r="A223" s="41"/>
      <c r="B223" s="13">
        <v>100</v>
      </c>
      <c r="C223" s="22">
        <v>0.5</v>
      </c>
      <c r="D223" s="179">
        <f>SUM(Venttiilit!Q6)</f>
        <v>0</v>
      </c>
      <c r="E223" s="97">
        <f>SUM(D223*0.5)</f>
        <v>0</v>
      </c>
      <c r="F223" s="22">
        <v>0.85</v>
      </c>
      <c r="G223" s="179">
        <f>SUM(Venttiilit!Q29)</f>
        <v>0</v>
      </c>
      <c r="H223" s="97">
        <f>SUM(G223*0.85)</f>
        <v>0</v>
      </c>
      <c r="I223" s="22">
        <v>0.6</v>
      </c>
      <c r="J223" s="179">
        <f>SUM(Venttiilit!Q48)</f>
        <v>0</v>
      </c>
      <c r="K223" s="372">
        <f>SUM(J223*0.6)</f>
        <v>0</v>
      </c>
      <c r="L223" s="22">
        <v>0.78</v>
      </c>
      <c r="M223" s="179">
        <f>SUM(Venttiilit!Q71)</f>
        <v>0</v>
      </c>
      <c r="N223" s="372">
        <f>SUM(L223*M223)</f>
        <v>0</v>
      </c>
      <c r="O223" s="22">
        <v>0.3</v>
      </c>
      <c r="P223" s="181">
        <f>SUM(Venttiilit!Q89)</f>
        <v>0</v>
      </c>
      <c r="Q223" s="372">
        <f>SUM(O223*P223)</f>
        <v>0</v>
      </c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</row>
    <row r="224" spans="1:52" ht="12.5" x14ac:dyDescent="0.25">
      <c r="A224" s="41"/>
      <c r="B224" s="13">
        <v>125</v>
      </c>
      <c r="C224" s="22">
        <v>0.5</v>
      </c>
      <c r="D224" s="179">
        <f>SUM(Venttiilit!Q7)</f>
        <v>0</v>
      </c>
      <c r="E224" s="97">
        <f>SUM(D224*0.5)</f>
        <v>0</v>
      </c>
      <c r="F224" s="22">
        <v>0.91</v>
      </c>
      <c r="G224" s="179">
        <f>SUM(Venttiilit!Q30)</f>
        <v>0</v>
      </c>
      <c r="H224" s="97">
        <f>SUM(G224*0.91)</f>
        <v>0</v>
      </c>
      <c r="I224" s="22">
        <v>0.6</v>
      </c>
      <c r="J224" s="179">
        <f>SUM(Venttiilit!Q49)</f>
        <v>0</v>
      </c>
      <c r="K224" s="373">
        <f>SUM(J224*0.6)</f>
        <v>0</v>
      </c>
      <c r="L224" s="22">
        <v>0.78</v>
      </c>
      <c r="M224" s="179">
        <f>SUM(Venttiilit!O72)</f>
        <v>0</v>
      </c>
      <c r="N224" s="372">
        <f t="shared" ref="N224:N234" si="8">SUM(L224*M224)</f>
        <v>0</v>
      </c>
      <c r="O224" s="22">
        <v>0.3</v>
      </c>
      <c r="P224" s="179">
        <f>SUM(Venttiilit!Q90)</f>
        <v>0</v>
      </c>
      <c r="Q224" s="372">
        <f t="shared" ref="Q224:Q229" si="9">SUM(O224*P224)</f>
        <v>0</v>
      </c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</row>
    <row r="225" spans="1:52" ht="12.5" x14ac:dyDescent="0.25">
      <c r="A225" s="41"/>
      <c r="B225" s="13">
        <v>160</v>
      </c>
      <c r="C225" s="22">
        <v>0.6</v>
      </c>
      <c r="D225" s="179">
        <f>SUM(Venttiilit!Q8)</f>
        <v>0</v>
      </c>
      <c r="E225" s="97">
        <f>SUM(D225*0.6)</f>
        <v>0</v>
      </c>
      <c r="F225" s="22">
        <v>1</v>
      </c>
      <c r="G225" s="179">
        <f>SUM(Venttiilit!Q31)</f>
        <v>0</v>
      </c>
      <c r="H225" s="97">
        <f>SUM(G225*1)</f>
        <v>0</v>
      </c>
      <c r="I225" s="22">
        <v>0.8</v>
      </c>
      <c r="J225" s="179">
        <f>SUM(Venttiilit!Q50)</f>
        <v>0</v>
      </c>
      <c r="K225" s="373">
        <f>SUM(J225*0.8)</f>
        <v>0</v>
      </c>
      <c r="L225" s="22">
        <v>1.04</v>
      </c>
      <c r="M225" s="179">
        <f>SUM(Venttiilit!Q73)</f>
        <v>0</v>
      </c>
      <c r="N225" s="372">
        <f t="shared" si="8"/>
        <v>0</v>
      </c>
      <c r="O225" s="22">
        <v>0.32</v>
      </c>
      <c r="P225" s="179">
        <f>SUM(Venttiilit!Q91)</f>
        <v>0</v>
      </c>
      <c r="Q225" s="372">
        <f t="shared" si="9"/>
        <v>0</v>
      </c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</row>
    <row r="226" spans="1:52" ht="12.5" x14ac:dyDescent="0.25">
      <c r="A226" s="41"/>
      <c r="B226" s="13">
        <v>200</v>
      </c>
      <c r="C226" s="22">
        <v>0.6</v>
      </c>
      <c r="D226" s="179">
        <f>SUM(Venttiilit!Q9)</f>
        <v>0</v>
      </c>
      <c r="E226" s="97">
        <f>SUM(D226*0.6)</f>
        <v>0</v>
      </c>
      <c r="F226" s="22">
        <v>1.05</v>
      </c>
      <c r="G226" s="179">
        <f>SUM(Venttiilit!Q32)</f>
        <v>0</v>
      </c>
      <c r="H226" s="97">
        <f>SUM(G226*1.05)</f>
        <v>0</v>
      </c>
      <c r="I226" s="22">
        <v>0.8</v>
      </c>
      <c r="J226" s="179">
        <f>SUM(Venttiilit!Q51)</f>
        <v>0</v>
      </c>
      <c r="K226" s="373">
        <f>SUM(J226*0.8)</f>
        <v>0</v>
      </c>
      <c r="L226" s="22">
        <v>1.04</v>
      </c>
      <c r="M226" s="179">
        <f>SUM(Venttiilit!Q74)</f>
        <v>0</v>
      </c>
      <c r="N226" s="372">
        <f t="shared" si="8"/>
        <v>0</v>
      </c>
      <c r="O226" s="22">
        <v>0.34</v>
      </c>
      <c r="P226" s="179">
        <f>SUM(Venttiilit!Q92)</f>
        <v>0</v>
      </c>
      <c r="Q226" s="372">
        <f t="shared" si="9"/>
        <v>0</v>
      </c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</row>
    <row r="227" spans="1:52" ht="12.5" x14ac:dyDescent="0.25">
      <c r="A227" s="41"/>
      <c r="B227" s="13">
        <v>250</v>
      </c>
      <c r="C227" s="22">
        <v>0.6</v>
      </c>
      <c r="D227" s="179">
        <f>SUM(Venttiilit!Q10)</f>
        <v>0</v>
      </c>
      <c r="E227" s="97">
        <f>SUM(D227*0.6)</f>
        <v>0</v>
      </c>
      <c r="F227" s="22">
        <v>1.1399999999999999</v>
      </c>
      <c r="G227" s="179">
        <f>SUM(Venttiilit!Q33)</f>
        <v>0</v>
      </c>
      <c r="H227" s="97">
        <f>SUM(G227*1.14)</f>
        <v>0</v>
      </c>
      <c r="I227" s="22">
        <v>0.8</v>
      </c>
      <c r="J227" s="179">
        <f>SUM(Venttiilit!Q52)</f>
        <v>0</v>
      </c>
      <c r="K227" s="374">
        <f>SUM(J227*0.8)</f>
        <v>0</v>
      </c>
      <c r="L227" s="22">
        <v>1.04</v>
      </c>
      <c r="M227" s="179">
        <f>SUM(Venttiilit!Q75)</f>
        <v>0</v>
      </c>
      <c r="N227" s="372">
        <f t="shared" si="8"/>
        <v>0</v>
      </c>
      <c r="O227" s="22">
        <v>0.38</v>
      </c>
      <c r="P227" s="179">
        <f>SUM(Venttiilit!Q93)</f>
        <v>0</v>
      </c>
      <c r="Q227" s="372">
        <f t="shared" si="9"/>
        <v>0</v>
      </c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</row>
    <row r="228" spans="1:52" ht="12.5" x14ac:dyDescent="0.25">
      <c r="A228" s="41"/>
      <c r="B228" s="13">
        <v>315</v>
      </c>
      <c r="C228" s="22">
        <v>0.6</v>
      </c>
      <c r="D228" s="179">
        <f>SUM(Venttiilit!Q11)</f>
        <v>0</v>
      </c>
      <c r="E228" s="97">
        <f>SUM(D228*0.6)</f>
        <v>0</v>
      </c>
      <c r="F228" s="22">
        <v>1.48</v>
      </c>
      <c r="G228" s="179">
        <f>SUM(Venttiilit!Q34)</f>
        <v>0</v>
      </c>
      <c r="H228" s="97">
        <f>SUM(G228*1.48)</f>
        <v>0</v>
      </c>
      <c r="I228" s="22">
        <v>0.95</v>
      </c>
      <c r="J228" s="179">
        <f>SUM(Venttiilit!Q53)</f>
        <v>0</v>
      </c>
      <c r="K228" s="374">
        <f>SUM(J228*0.95)</f>
        <v>0</v>
      </c>
      <c r="L228" s="22">
        <v>1.5</v>
      </c>
      <c r="M228" s="179">
        <f>SUM(Venttiilit!Q76)</f>
        <v>0</v>
      </c>
      <c r="N228" s="372">
        <f t="shared" si="8"/>
        <v>0</v>
      </c>
      <c r="O228" s="22">
        <v>0.43</v>
      </c>
      <c r="P228" s="179">
        <f>SUM(Venttiilit!Q94)</f>
        <v>0</v>
      </c>
      <c r="Q228" s="372">
        <f t="shared" si="9"/>
        <v>0</v>
      </c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</row>
    <row r="229" spans="1:52" ht="12.5" x14ac:dyDescent="0.25">
      <c r="A229" s="41"/>
      <c r="B229" s="13">
        <v>400</v>
      </c>
      <c r="C229" s="22">
        <v>0.73</v>
      </c>
      <c r="D229" s="179">
        <f>SUM(Venttiilit!Q12)</f>
        <v>0</v>
      </c>
      <c r="E229" s="97">
        <f>SUM(D229*0.73)</f>
        <v>0</v>
      </c>
      <c r="F229" s="22">
        <v>1.7</v>
      </c>
      <c r="G229" s="179">
        <f>SUM(Venttiilit!Q35)</f>
        <v>0</v>
      </c>
      <c r="H229" s="97">
        <f>SUM(G229*1.7)</f>
        <v>0</v>
      </c>
      <c r="I229" s="22">
        <v>1.1000000000000001</v>
      </c>
      <c r="J229" s="179">
        <f>SUM(Venttiilit!Q54)</f>
        <v>0</v>
      </c>
      <c r="K229" s="374">
        <f>SUM(J229*1.1)</f>
        <v>0</v>
      </c>
      <c r="L229" s="22">
        <v>1.7</v>
      </c>
      <c r="M229" s="179">
        <f>SUM(Venttiilit!Q77)</f>
        <v>0</v>
      </c>
      <c r="N229" s="372">
        <f t="shared" si="8"/>
        <v>0</v>
      </c>
      <c r="O229" s="22">
        <v>0.5</v>
      </c>
      <c r="P229" s="389">
        <f>SUM(Venttiilit!Q95)</f>
        <v>0</v>
      </c>
      <c r="Q229" s="372">
        <f t="shared" si="9"/>
        <v>0</v>
      </c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</row>
    <row r="230" spans="1:52" ht="13" thickBot="1" x14ac:dyDescent="0.3">
      <c r="A230" s="41"/>
      <c r="B230" s="13">
        <v>500</v>
      </c>
      <c r="C230" s="22">
        <v>0.98</v>
      </c>
      <c r="D230" s="179">
        <f>SUM(Venttiilit!Q13)</f>
        <v>0</v>
      </c>
      <c r="E230" s="97">
        <f>SUM(D230*0.98)</f>
        <v>0</v>
      </c>
      <c r="F230" s="22">
        <v>1.93</v>
      </c>
      <c r="G230" s="179">
        <f>SUM(Venttiilit!Q36)</f>
        <v>0</v>
      </c>
      <c r="H230" s="97">
        <f>SUM(G230*1.93)</f>
        <v>0</v>
      </c>
      <c r="I230" s="22">
        <v>1.28</v>
      </c>
      <c r="J230" s="179">
        <f>SUM(Venttiilit!Q55)</f>
        <v>0</v>
      </c>
      <c r="K230" s="374">
        <f>SUM(J230*1.28)</f>
        <v>0</v>
      </c>
      <c r="L230" s="22">
        <v>1.9</v>
      </c>
      <c r="M230" s="179">
        <f>SUM(Venttiilit!Q78)</f>
        <v>0</v>
      </c>
      <c r="N230" s="372">
        <f t="shared" si="8"/>
        <v>0</v>
      </c>
      <c r="O230" s="381"/>
      <c r="P230" s="384" t="s">
        <v>0</v>
      </c>
      <c r="Q230" s="679">
        <f>SUM(Q223:Q229)</f>
        <v>0</v>
      </c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</row>
    <row r="231" spans="1:52" ht="12.5" x14ac:dyDescent="0.25">
      <c r="A231" s="41"/>
      <c r="B231" s="13">
        <v>630</v>
      </c>
      <c r="C231" s="22">
        <v>1.25</v>
      </c>
      <c r="D231" s="179">
        <f>SUM(Venttiilit!Q14)</f>
        <v>0</v>
      </c>
      <c r="E231" s="97">
        <f>SUM(D231*1.25)</f>
        <v>0</v>
      </c>
      <c r="F231" s="22">
        <v>2.38</v>
      </c>
      <c r="G231" s="179">
        <f>SUM(Venttiilit!Q37)</f>
        <v>0</v>
      </c>
      <c r="H231" s="97">
        <f>SUM(G231*2.38)</f>
        <v>0</v>
      </c>
      <c r="I231" s="22">
        <v>1.6</v>
      </c>
      <c r="J231" s="179">
        <f>SUM(Venttiilit!Q56)</f>
        <v>0</v>
      </c>
      <c r="K231" s="374">
        <f>SUM(J231*1.6)</f>
        <v>0</v>
      </c>
      <c r="L231" s="22">
        <v>2.5</v>
      </c>
      <c r="M231" s="179">
        <f>SUM(Venttiilit!Q79)</f>
        <v>0</v>
      </c>
      <c r="N231" s="372">
        <f t="shared" si="8"/>
        <v>0</v>
      </c>
      <c r="O231" s="382"/>
      <c r="P231" s="383" t="s">
        <v>67</v>
      </c>
      <c r="Q231" s="213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</row>
    <row r="232" spans="1:52" ht="12.5" x14ac:dyDescent="0.25">
      <c r="A232" s="41"/>
      <c r="B232" s="13">
        <v>800</v>
      </c>
      <c r="C232" s="22">
        <v>1.43</v>
      </c>
      <c r="D232" s="179">
        <f>SUM(Venttiilit!Q15)</f>
        <v>0</v>
      </c>
      <c r="E232" s="97">
        <f>SUM(D232*1.43)</f>
        <v>0</v>
      </c>
      <c r="F232" s="21"/>
      <c r="G232" s="55"/>
      <c r="H232" s="55"/>
      <c r="I232" s="22">
        <v>1.88</v>
      </c>
      <c r="J232" s="179">
        <f>SUM(Venttiilit!Q57)</f>
        <v>0</v>
      </c>
      <c r="K232" s="374">
        <f>SUM(J232*1.88)</f>
        <v>0</v>
      </c>
      <c r="L232" s="22">
        <v>3.2</v>
      </c>
      <c r="M232" s="179">
        <f>SUM(Venttiilit!Q80)</f>
        <v>0</v>
      </c>
      <c r="N232" s="372">
        <f t="shared" si="8"/>
        <v>0</v>
      </c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</row>
    <row r="233" spans="1:52" ht="12.5" x14ac:dyDescent="0.25">
      <c r="A233" s="41"/>
      <c r="B233" s="13">
        <v>1000</v>
      </c>
      <c r="C233" s="22">
        <v>1.76</v>
      </c>
      <c r="D233" s="179">
        <f>SUM(Venttiilit!Q16)</f>
        <v>0</v>
      </c>
      <c r="E233" s="97">
        <f>SUM(D233*1.76)</f>
        <v>0</v>
      </c>
      <c r="F233" s="21"/>
      <c r="G233" s="55"/>
      <c r="H233" s="55"/>
      <c r="I233" s="22">
        <v>2.23</v>
      </c>
      <c r="J233" s="179">
        <f>SUM(Venttiilit!Q58)</f>
        <v>0</v>
      </c>
      <c r="K233" s="374">
        <f>SUM(J233*2.23)</f>
        <v>0</v>
      </c>
      <c r="L233" s="22">
        <v>3.6</v>
      </c>
      <c r="M233" s="179">
        <f>SUM(Venttiilit!Q81)</f>
        <v>0</v>
      </c>
      <c r="N233" s="372">
        <f t="shared" si="8"/>
        <v>0</v>
      </c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</row>
    <row r="234" spans="1:52" ht="12.5" x14ac:dyDescent="0.25">
      <c r="A234" s="41"/>
      <c r="B234" s="13">
        <v>1250</v>
      </c>
      <c r="C234" s="22">
        <v>2.16</v>
      </c>
      <c r="D234" s="179">
        <f>SUM(Venttiilit!Q17)</f>
        <v>0</v>
      </c>
      <c r="E234" s="97">
        <f>SUM(D234*2.16)</f>
        <v>0</v>
      </c>
      <c r="F234" s="21"/>
      <c r="G234" s="55"/>
      <c r="H234" s="55"/>
      <c r="I234" s="22">
        <v>2.57</v>
      </c>
      <c r="J234" s="179">
        <f>SUM(Venttiilit!Q59)</f>
        <v>0</v>
      </c>
      <c r="K234" s="374">
        <f>SUM(J234*2.57)</f>
        <v>0</v>
      </c>
      <c r="L234" s="22">
        <v>4</v>
      </c>
      <c r="M234" s="179">
        <f>SUM(Venttiilit!Q82)</f>
        <v>0</v>
      </c>
      <c r="N234" s="372">
        <f t="shared" si="8"/>
        <v>0</v>
      </c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</row>
    <row r="235" spans="1:52" ht="12.5" x14ac:dyDescent="0.25">
      <c r="A235" s="41"/>
      <c r="B235" s="13">
        <v>1400</v>
      </c>
      <c r="C235" s="22">
        <v>2.5499999999999998</v>
      </c>
      <c r="D235" s="179">
        <f>SUM(Venttiilit!Q18)</f>
        <v>0</v>
      </c>
      <c r="E235" s="97">
        <f>SUM(D235*2.55)</f>
        <v>0</v>
      </c>
      <c r="F235" s="21"/>
      <c r="G235" s="55"/>
      <c r="H235" s="55"/>
      <c r="I235" s="22">
        <v>2.94</v>
      </c>
      <c r="J235" s="179">
        <f>SUM(Venttiilit!Q60)</f>
        <v>0</v>
      </c>
      <c r="K235" s="374">
        <f>SUM(J235*2.94)</f>
        <v>0</v>
      </c>
      <c r="L235" s="21"/>
      <c r="M235" s="174"/>
      <c r="N235" s="175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</row>
    <row r="236" spans="1:52" ht="12.5" x14ac:dyDescent="0.25">
      <c r="A236" s="41"/>
      <c r="B236" s="13">
        <v>1600</v>
      </c>
      <c r="C236" s="22">
        <v>3.01</v>
      </c>
      <c r="D236" s="179">
        <f>SUM(Venttiilit!Q19)</f>
        <v>0</v>
      </c>
      <c r="E236" s="97">
        <f>SUM(D236*3.01)</f>
        <v>0</v>
      </c>
      <c r="F236" s="21"/>
      <c r="G236" s="55"/>
      <c r="H236" s="55"/>
      <c r="I236" s="22">
        <v>3.31</v>
      </c>
      <c r="J236" s="179">
        <f>SUM(Venttiilit!Q61)</f>
        <v>0</v>
      </c>
      <c r="K236" s="374">
        <f>SUM(J236*3.31)</f>
        <v>0</v>
      </c>
      <c r="L236" s="21"/>
      <c r="M236" s="174"/>
      <c r="N236" s="175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</row>
    <row r="237" spans="1:52" ht="12.5" x14ac:dyDescent="0.25">
      <c r="A237" s="41"/>
      <c r="B237" s="13">
        <v>1800</v>
      </c>
      <c r="C237" s="22">
        <v>3.46</v>
      </c>
      <c r="D237" s="179">
        <f>SUM(Venttiilit!Q20)</f>
        <v>0</v>
      </c>
      <c r="E237" s="97">
        <f>SUM(D237*3.46)</f>
        <v>0</v>
      </c>
      <c r="F237" s="21"/>
      <c r="G237" s="55"/>
      <c r="H237" s="55"/>
      <c r="I237" s="22">
        <v>3.67</v>
      </c>
      <c r="J237" s="179">
        <f>SUM(Venttiilit!Q62)</f>
        <v>0</v>
      </c>
      <c r="K237" s="374">
        <f>SUM(J237*3.67)</f>
        <v>0</v>
      </c>
      <c r="L237" s="21"/>
      <c r="M237" s="174"/>
      <c r="N237" s="175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</row>
    <row r="238" spans="1:52" ht="12.5" x14ac:dyDescent="0.25">
      <c r="A238" s="41"/>
      <c r="B238" s="13">
        <v>2000</v>
      </c>
      <c r="C238" s="13">
        <v>3.97</v>
      </c>
      <c r="D238" s="179">
        <f>SUM(Venttiilit!Q21)</f>
        <v>0</v>
      </c>
      <c r="E238" s="97">
        <f>SUM(D238*3.97)</f>
        <v>0</v>
      </c>
      <c r="F238" s="20"/>
      <c r="G238" s="9"/>
      <c r="H238" s="9"/>
      <c r="I238" s="22">
        <v>4.05</v>
      </c>
      <c r="J238" s="179">
        <f>SUM(Venttiilit!Q63)</f>
        <v>0</v>
      </c>
      <c r="K238" s="374">
        <f>SUM(J238*4.05)</f>
        <v>0</v>
      </c>
      <c r="L238" s="21"/>
      <c r="M238" s="174"/>
      <c r="N238" s="175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</row>
    <row r="239" spans="1:52" ht="12.5" x14ac:dyDescent="0.25">
      <c r="A239" s="41"/>
      <c r="B239" s="13">
        <v>2400</v>
      </c>
      <c r="C239" s="22">
        <v>4.4000000000000004</v>
      </c>
      <c r="D239" s="179">
        <f>SUM(Venttiilit!Q22)</f>
        <v>0</v>
      </c>
      <c r="E239" s="97">
        <f>SUM(D239*4.4)</f>
        <v>0</v>
      </c>
      <c r="F239" s="21"/>
      <c r="G239" s="55"/>
      <c r="H239" s="55"/>
      <c r="I239" s="22">
        <v>4.43</v>
      </c>
      <c r="J239" s="179">
        <f>SUM(Venttiilit!Q64)</f>
        <v>0</v>
      </c>
      <c r="K239" s="374">
        <f>SUM(J239*4.43)</f>
        <v>0</v>
      </c>
      <c r="L239" s="21"/>
      <c r="M239" s="174"/>
      <c r="N239" s="175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</row>
    <row r="240" spans="1:52" ht="13.5" thickBot="1" x14ac:dyDescent="0.35">
      <c r="B240" s="5"/>
      <c r="C240" s="59"/>
      <c r="D240" s="171" t="s">
        <v>0</v>
      </c>
      <c r="E240" s="676">
        <f>SUM(E223:E239)</f>
        <v>0</v>
      </c>
      <c r="F240" s="59"/>
      <c r="G240" s="89" t="s">
        <v>0</v>
      </c>
      <c r="H240" s="676">
        <f>SUM(H223:H231)</f>
        <v>0</v>
      </c>
      <c r="I240" s="59"/>
      <c r="J240" s="171" t="s">
        <v>0</v>
      </c>
      <c r="K240" s="676">
        <f>SUM(K223:K239)</f>
        <v>0</v>
      </c>
      <c r="L240" s="59"/>
      <c r="M240" s="171" t="s">
        <v>0</v>
      </c>
      <c r="N240" s="676">
        <f>SUM(N223:N234)</f>
        <v>0</v>
      </c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</row>
    <row r="241" spans="2:52" x14ac:dyDescent="0.65">
      <c r="B241" s="5"/>
      <c r="C241" s="59"/>
      <c r="F241" s="89"/>
      <c r="I241" s="89"/>
      <c r="L241" s="8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</row>
    <row r="242" spans="2:52" ht="13" x14ac:dyDescent="0.3">
      <c r="B242" s="156"/>
      <c r="C242" s="154">
        <v>6</v>
      </c>
      <c r="D242" s="11"/>
      <c r="E242" s="156"/>
      <c r="F242" s="154">
        <v>7</v>
      </c>
      <c r="G242" s="11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</row>
    <row r="243" spans="2:52" ht="12.5" x14ac:dyDescent="0.25">
      <c r="B243" s="48" t="s">
        <v>0</v>
      </c>
      <c r="C243" s="82" t="s">
        <v>158</v>
      </c>
      <c r="D243" s="58" t="s">
        <v>0</v>
      </c>
      <c r="E243" s="48" t="s">
        <v>0</v>
      </c>
      <c r="F243" s="82" t="s">
        <v>158</v>
      </c>
      <c r="G243" s="58" t="s">
        <v>0</v>
      </c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</row>
    <row r="244" spans="2:52" ht="12.5" x14ac:dyDescent="0.25">
      <c r="B244" s="22">
        <v>0.9</v>
      </c>
      <c r="C244" s="181">
        <f>SUM(Venttiilit!Q102)</f>
        <v>0</v>
      </c>
      <c r="D244" s="372">
        <f t="shared" ref="D244:D252" si="10">SUM(B244*C244)</f>
        <v>0</v>
      </c>
      <c r="E244" s="22">
        <v>1.2</v>
      </c>
      <c r="F244" s="181">
        <f>SUM(Venttiilit!Q117)</f>
        <v>0</v>
      </c>
      <c r="G244" s="372">
        <f t="shared" ref="G244:G252" si="11">SUM(E244*F244)</f>
        <v>0</v>
      </c>
      <c r="I244" s="60" t="s">
        <v>429</v>
      </c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</row>
    <row r="245" spans="2:52" ht="12.5" x14ac:dyDescent="0.25">
      <c r="B245" s="22">
        <v>0.9</v>
      </c>
      <c r="C245" s="179">
        <f>SUM(Venttiilit!Q103)</f>
        <v>0</v>
      </c>
      <c r="D245" s="373">
        <f t="shared" si="10"/>
        <v>0</v>
      </c>
      <c r="E245" s="22">
        <v>1.2</v>
      </c>
      <c r="F245" s="181">
        <f>SUM(Venttiilit!Q118)</f>
        <v>0</v>
      </c>
      <c r="G245" s="373">
        <f t="shared" si="11"/>
        <v>0</v>
      </c>
      <c r="I245" s="5" t="s">
        <v>430</v>
      </c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</row>
    <row r="246" spans="2:52" ht="12.5" x14ac:dyDescent="0.25">
      <c r="B246" s="22">
        <v>0.9</v>
      </c>
      <c r="C246" s="179">
        <f>SUM(Venttiilit!Q104)</f>
        <v>0</v>
      </c>
      <c r="D246" s="372">
        <f t="shared" si="10"/>
        <v>0</v>
      </c>
      <c r="E246" s="22">
        <v>1.6</v>
      </c>
      <c r="F246" s="181">
        <f>SUM(Venttiilit!Q119)</f>
        <v>0</v>
      </c>
      <c r="G246" s="372">
        <f t="shared" si="11"/>
        <v>0</v>
      </c>
      <c r="I246" s="80" t="s">
        <v>426</v>
      </c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</row>
    <row r="247" spans="2:52" ht="12.5" x14ac:dyDescent="0.25">
      <c r="B247" s="22">
        <v>1</v>
      </c>
      <c r="C247" s="179">
        <f>SUM(Venttiilit!Q105)</f>
        <v>0</v>
      </c>
      <c r="D247" s="373">
        <f t="shared" si="10"/>
        <v>0</v>
      </c>
      <c r="E247" s="22">
        <v>1.6</v>
      </c>
      <c r="F247" s="181">
        <f>SUM(Venttiilit!Q120)</f>
        <v>0</v>
      </c>
      <c r="G247" s="373">
        <f t="shared" si="11"/>
        <v>0</v>
      </c>
      <c r="I247" s="80" t="s">
        <v>427</v>
      </c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</row>
    <row r="248" spans="2:52" ht="12.5" x14ac:dyDescent="0.25">
      <c r="B248" s="22">
        <v>1</v>
      </c>
      <c r="C248" s="179">
        <f>SUM(Venttiilit!Q106)</f>
        <v>0</v>
      </c>
      <c r="D248" s="372">
        <f t="shared" si="10"/>
        <v>0</v>
      </c>
      <c r="E248" s="22">
        <v>1.6</v>
      </c>
      <c r="F248" s="181">
        <f>SUM(Venttiilit!Q121)</f>
        <v>0</v>
      </c>
      <c r="G248" s="372">
        <f t="shared" si="11"/>
        <v>0</v>
      </c>
      <c r="I248" s="80" t="s">
        <v>431</v>
      </c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</row>
    <row r="249" spans="2:52" ht="12.5" x14ac:dyDescent="0.25">
      <c r="B249" s="22">
        <v>1</v>
      </c>
      <c r="C249" s="179">
        <f>SUM(Venttiilit!Q107)</f>
        <v>0</v>
      </c>
      <c r="D249" s="373">
        <f t="shared" si="10"/>
        <v>0</v>
      </c>
      <c r="E249" s="22">
        <v>1.9</v>
      </c>
      <c r="F249" s="181">
        <f>SUM(Venttiilit!Q122)</f>
        <v>0</v>
      </c>
      <c r="G249" s="373">
        <f t="shared" si="11"/>
        <v>0</v>
      </c>
      <c r="I249" s="80" t="s">
        <v>432</v>
      </c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</row>
    <row r="250" spans="2:52" ht="12.5" x14ac:dyDescent="0.25">
      <c r="B250" s="22">
        <v>1.21</v>
      </c>
      <c r="C250" s="179">
        <f>SUM(Venttiilit!Q108)</f>
        <v>0</v>
      </c>
      <c r="D250" s="372">
        <f t="shared" si="10"/>
        <v>0</v>
      </c>
      <c r="E250" s="22">
        <v>2.2000000000000002</v>
      </c>
      <c r="F250" s="181">
        <f>SUM(Venttiilit!Q123)</f>
        <v>0</v>
      </c>
      <c r="G250" s="372">
        <f t="shared" si="11"/>
        <v>0</v>
      </c>
      <c r="I250" s="80" t="s">
        <v>450</v>
      </c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</row>
    <row r="251" spans="2:52" ht="12.5" x14ac:dyDescent="0.25">
      <c r="B251" s="358">
        <v>1.81</v>
      </c>
      <c r="C251" s="179">
        <f>SUM(Venttiilit!Q109)</f>
        <v>0</v>
      </c>
      <c r="D251" s="373">
        <f t="shared" si="10"/>
        <v>0</v>
      </c>
      <c r="E251" s="358">
        <v>2.56</v>
      </c>
      <c r="F251" s="181">
        <f>SUM(Venttiilit!Q124)</f>
        <v>0</v>
      </c>
      <c r="G251" s="373">
        <f t="shared" si="11"/>
        <v>0</v>
      </c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</row>
    <row r="252" spans="2:52" ht="13.5" thickBot="1" x14ac:dyDescent="0.35">
      <c r="B252" s="13">
        <v>2.42</v>
      </c>
      <c r="C252" s="179">
        <f>SUM(Venttiilit!Q110)</f>
        <v>0</v>
      </c>
      <c r="D252" s="372">
        <f t="shared" si="10"/>
        <v>0</v>
      </c>
      <c r="E252" s="22">
        <v>3.2</v>
      </c>
      <c r="F252" s="181">
        <f>SUM(Venttiilit!Q125)</f>
        <v>0</v>
      </c>
      <c r="G252" s="372">
        <f t="shared" si="11"/>
        <v>0</v>
      </c>
      <c r="M252" s="88"/>
      <c r="N252" s="89"/>
      <c r="O252"/>
      <c r="P252" s="185" t="s">
        <v>217</v>
      </c>
      <c r="Q252" s="89" t="s">
        <v>0</v>
      </c>
      <c r="R252" s="659">
        <f>SUM(E240+H240+K240+N240+Q230+D253+G253)</f>
        <v>0</v>
      </c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</row>
    <row r="253" spans="2:52" ht="13.5" thickBot="1" x14ac:dyDescent="0.35">
      <c r="B253" s="5"/>
      <c r="C253" s="89" t="s">
        <v>0</v>
      </c>
      <c r="D253" s="676">
        <f>SUM(D244:D252)</f>
        <v>0</v>
      </c>
      <c r="E253" s="5"/>
      <c r="F253" s="89" t="s">
        <v>0</v>
      </c>
      <c r="G253" s="676">
        <f>SUM(G244:G252)</f>
        <v>0</v>
      </c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</row>
    <row r="254" spans="2:52" ht="6.75" customHeight="1" x14ac:dyDescent="0.25">
      <c r="B254" s="5"/>
      <c r="C254" s="5"/>
      <c r="D254" s="5"/>
      <c r="E254" s="5"/>
      <c r="F254" s="5"/>
      <c r="G254" s="5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</row>
    <row r="255" spans="2:52" ht="12.5" x14ac:dyDescent="0.25">
      <c r="B255" s="5"/>
      <c r="C255" s="46"/>
      <c r="D255" s="5"/>
      <c r="E255" s="46"/>
      <c r="F255" s="5"/>
      <c r="G255" s="5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</row>
    <row r="256" spans="2:52" ht="3.75" customHeight="1" x14ac:dyDescent="0.25">
      <c r="C256" s="46"/>
      <c r="D256" s="5"/>
      <c r="E256" s="46"/>
      <c r="F256" s="5"/>
      <c r="G256" s="5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</row>
    <row r="257" spans="1:52" ht="36" customHeight="1" x14ac:dyDescent="0.25">
      <c r="C257" s="46"/>
      <c r="D257" s="5"/>
      <c r="E257" s="46"/>
      <c r="F257" s="5"/>
      <c r="G257" s="5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</row>
    <row r="258" spans="1:52" ht="1.1499999999999999" customHeight="1" x14ac:dyDescent="0.25">
      <c r="C258" s="46"/>
      <c r="D258" s="5"/>
      <c r="E258" s="46"/>
      <c r="F258" s="5"/>
      <c r="G258" s="5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</row>
    <row r="259" spans="1:52" ht="9" customHeight="1" x14ac:dyDescent="0.25">
      <c r="A259" s="188"/>
      <c r="B259" s="192"/>
      <c r="C259" s="201"/>
      <c r="D259" s="188"/>
      <c r="E259" s="201"/>
      <c r="F259" s="188"/>
      <c r="G259" s="188"/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8"/>
      <c r="S259" s="188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</row>
    <row r="260" spans="1:52" ht="14.25" customHeight="1" x14ac:dyDescent="0.25">
      <c r="A260" s="188"/>
      <c r="B260" s="192"/>
      <c r="C260" s="201"/>
      <c r="D260" s="188"/>
      <c r="E260" s="201"/>
      <c r="F260" s="188"/>
      <c r="G260" s="188"/>
      <c r="H260" s="188"/>
      <c r="I260" s="188"/>
      <c r="J260" s="325" t="s">
        <v>234</v>
      </c>
      <c r="K260" s="188"/>
      <c r="L260" s="188"/>
      <c r="M260" s="188"/>
      <c r="N260" s="188"/>
      <c r="O260" s="188"/>
      <c r="P260" s="188"/>
      <c r="Q260" s="188"/>
      <c r="R260" s="188"/>
      <c r="S260" s="188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</row>
    <row r="261" spans="1:52" ht="15.5" x14ac:dyDescent="0.35">
      <c r="A261" s="188"/>
      <c r="B261" s="188"/>
      <c r="C261" s="197" t="s">
        <v>520</v>
      </c>
      <c r="D261" s="188"/>
      <c r="E261" s="188"/>
      <c r="F261" s="188"/>
      <c r="G261" s="198"/>
      <c r="H261" s="188"/>
      <c r="I261" s="188"/>
      <c r="J261" s="188"/>
      <c r="K261" s="188"/>
      <c r="L261" s="188"/>
      <c r="M261" s="188"/>
      <c r="N261" s="188"/>
      <c r="O261" s="188"/>
      <c r="P261" s="188"/>
      <c r="Q261" s="188"/>
      <c r="R261" s="195"/>
      <c r="S261" s="188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</row>
    <row r="262" spans="1:52" ht="12.5" x14ac:dyDescent="0.25">
      <c r="A262" s="188"/>
      <c r="B262" s="188"/>
      <c r="C262" s="188"/>
      <c r="D262" s="188"/>
      <c r="E262" s="188"/>
      <c r="F262" s="188"/>
      <c r="G262" s="188"/>
      <c r="H262" s="188"/>
      <c r="I262" s="188"/>
      <c r="J262" s="188"/>
      <c r="K262" s="188"/>
      <c r="L262" s="188" t="s">
        <v>131</v>
      </c>
      <c r="M262" s="188"/>
      <c r="N262" s="188"/>
      <c r="O262" s="188"/>
      <c r="P262" s="188"/>
      <c r="Q262" s="188"/>
      <c r="R262" s="188"/>
      <c r="S262" s="188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</row>
    <row r="263" spans="1:52" ht="12.5" x14ac:dyDescent="0.25">
      <c r="A263" s="188"/>
      <c r="B263" s="188"/>
      <c r="C263" s="192">
        <v>1</v>
      </c>
      <c r="D263" s="188" t="s">
        <v>452</v>
      </c>
      <c r="E263" s="188"/>
      <c r="F263" s="188"/>
      <c r="G263" s="188"/>
      <c r="H263" s="188"/>
      <c r="I263" s="188"/>
      <c r="J263" s="188"/>
      <c r="K263" s="188"/>
      <c r="L263" s="188" t="s">
        <v>401</v>
      </c>
      <c r="M263" s="188"/>
      <c r="N263" s="188"/>
      <c r="O263" s="188"/>
      <c r="P263" s="188"/>
      <c r="Q263" s="188"/>
      <c r="R263" s="188"/>
      <c r="S263" s="188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</row>
    <row r="264" spans="1:52" ht="12.5" x14ac:dyDescent="0.25">
      <c r="A264" s="188"/>
      <c r="B264" s="188"/>
      <c r="C264" s="192">
        <v>2</v>
      </c>
      <c r="D264" s="188" t="s">
        <v>453</v>
      </c>
      <c r="E264" s="188"/>
      <c r="F264" s="188"/>
      <c r="G264" s="188"/>
      <c r="H264" s="188"/>
      <c r="I264" s="188"/>
      <c r="J264" s="188"/>
      <c r="K264" s="188"/>
      <c r="L264" s="188" t="s">
        <v>402</v>
      </c>
      <c r="M264" s="188"/>
      <c r="N264" s="188"/>
      <c r="O264" s="188"/>
      <c r="P264" s="188"/>
      <c r="Q264" s="188"/>
      <c r="R264" s="188"/>
      <c r="S264" s="188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</row>
    <row r="265" spans="1:52" ht="12.5" x14ac:dyDescent="0.25">
      <c r="A265" s="188"/>
      <c r="B265" s="188"/>
      <c r="C265" s="192"/>
      <c r="D265" s="188"/>
      <c r="E265" s="188"/>
      <c r="F265" s="188"/>
      <c r="G265" s="188"/>
      <c r="H265" s="188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</row>
    <row r="266" spans="1:52" ht="12.5" x14ac:dyDescent="0.25">
      <c r="A266" s="188"/>
      <c r="B266" s="188"/>
      <c r="C266" s="192"/>
      <c r="D266" s="188"/>
      <c r="E266" s="188"/>
      <c r="F266" s="188"/>
      <c r="G266" s="188"/>
      <c r="H266" s="188"/>
      <c r="I266" s="188"/>
      <c r="J266" s="188"/>
      <c r="K266" s="188"/>
      <c r="L266" s="188"/>
      <c r="M266" s="188"/>
      <c r="N266" s="188"/>
      <c r="O266" s="188"/>
      <c r="P266" s="188"/>
      <c r="Q266" s="188"/>
      <c r="R266" s="188"/>
      <c r="S266" s="188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</row>
    <row r="267" spans="1:52" ht="13" x14ac:dyDescent="0.3">
      <c r="A267" s="188"/>
      <c r="B267" s="188"/>
      <c r="C267" s="199" t="s">
        <v>54</v>
      </c>
      <c r="D267" s="187"/>
      <c r="E267" s="202"/>
      <c r="F267" s="205">
        <v>1</v>
      </c>
      <c r="G267" s="189"/>
      <c r="H267" s="194"/>
      <c r="I267" s="205">
        <v>2</v>
      </c>
      <c r="J267" s="190"/>
      <c r="K267" s="188"/>
      <c r="L267" s="188" t="s">
        <v>249</v>
      </c>
      <c r="M267" s="188"/>
      <c r="N267" s="188"/>
      <c r="O267" s="188"/>
      <c r="P267" s="188"/>
      <c r="Q267" s="188"/>
      <c r="R267" s="188"/>
      <c r="S267" s="188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</row>
    <row r="268" spans="1:52" ht="12.5" x14ac:dyDescent="0.25">
      <c r="A268" s="188"/>
      <c r="B268" s="188"/>
      <c r="C268" s="200" t="s">
        <v>42</v>
      </c>
      <c r="D268" s="188"/>
      <c r="E268" s="202" t="s">
        <v>0</v>
      </c>
      <c r="F268" s="194" t="s">
        <v>158</v>
      </c>
      <c r="G268" s="189" t="s">
        <v>0</v>
      </c>
      <c r="H268" s="202" t="s">
        <v>0</v>
      </c>
      <c r="I268" s="194" t="s">
        <v>158</v>
      </c>
      <c r="J268" s="189" t="s">
        <v>0</v>
      </c>
      <c r="K268" s="188"/>
      <c r="L268" s="188"/>
      <c r="M268" s="188"/>
      <c r="N268" s="188"/>
      <c r="O268" s="188"/>
      <c r="P268" s="188"/>
      <c r="Q268" s="188"/>
      <c r="R268" s="188"/>
      <c r="S268" s="188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</row>
    <row r="269" spans="1:52" ht="12.5" x14ac:dyDescent="0.25">
      <c r="A269" s="188"/>
      <c r="B269" s="188"/>
      <c r="C269" s="697" t="s">
        <v>137</v>
      </c>
      <c r="D269" s="697"/>
      <c r="E269" s="193">
        <v>3.8</v>
      </c>
      <c r="F269" s="306">
        <f>SUM(Ilmanvaihtokoneet!Q8)</f>
        <v>0</v>
      </c>
      <c r="G269" s="370">
        <f t="shared" ref="G269:G274" si="12">SUM(E269*F269)</f>
        <v>0</v>
      </c>
      <c r="H269" s="191">
        <v>6.88</v>
      </c>
      <c r="I269" s="305">
        <f>SUM(Ilmanvaihtokoneet!Q20)</f>
        <v>0</v>
      </c>
      <c r="J269" s="371">
        <f t="shared" ref="J269:J274" si="13">SUM(H269*I269)</f>
        <v>0</v>
      </c>
      <c r="K269" s="188"/>
      <c r="L269" s="188" t="s">
        <v>132</v>
      </c>
      <c r="M269" s="188"/>
      <c r="N269" s="188"/>
      <c r="O269" s="188"/>
      <c r="P269" s="188"/>
      <c r="Q269" s="188"/>
      <c r="R269" s="188"/>
      <c r="S269" s="188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</row>
    <row r="270" spans="1:52" ht="12.5" x14ac:dyDescent="0.25">
      <c r="A270" s="188"/>
      <c r="B270" s="188"/>
      <c r="C270" s="700" t="s">
        <v>138</v>
      </c>
      <c r="D270" s="700"/>
      <c r="E270" s="191">
        <v>5.76</v>
      </c>
      <c r="F270" s="306">
        <f>SUM(Ilmanvaihtokoneet!Q9)</f>
        <v>0</v>
      </c>
      <c r="G270" s="370">
        <f t="shared" si="12"/>
        <v>0</v>
      </c>
      <c r="H270" s="191">
        <v>10.23</v>
      </c>
      <c r="I270" s="305">
        <f>SUM(Ilmanvaihtokoneet!Q21)</f>
        <v>0</v>
      </c>
      <c r="J270" s="371">
        <f t="shared" si="13"/>
        <v>0</v>
      </c>
      <c r="K270" s="188"/>
      <c r="L270" s="188" t="s">
        <v>133</v>
      </c>
      <c r="M270" s="188"/>
      <c r="N270" s="188"/>
      <c r="O270" s="188"/>
      <c r="P270" s="188"/>
      <c r="Q270" s="188"/>
      <c r="R270" s="188"/>
      <c r="S270" s="188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</row>
    <row r="271" spans="1:52" ht="12.5" x14ac:dyDescent="0.25">
      <c r="A271" s="188"/>
      <c r="B271" s="188"/>
      <c r="C271" s="697" t="s">
        <v>139</v>
      </c>
      <c r="D271" s="697"/>
      <c r="E271" s="191">
        <v>7.67</v>
      </c>
      <c r="F271" s="306">
        <f>SUM(Ilmanvaihtokoneet!Q10)</f>
        <v>0</v>
      </c>
      <c r="G271" s="370">
        <f t="shared" si="12"/>
        <v>0</v>
      </c>
      <c r="H271" s="191">
        <v>13.74</v>
      </c>
      <c r="I271" s="305">
        <f>SUM(Ilmanvaihtokoneet!Q22)</f>
        <v>0</v>
      </c>
      <c r="J271" s="371">
        <f t="shared" si="13"/>
        <v>0</v>
      </c>
      <c r="K271" s="188"/>
      <c r="L271" s="188" t="s">
        <v>75</v>
      </c>
      <c r="M271" s="188"/>
      <c r="N271" s="188"/>
      <c r="O271" s="188"/>
      <c r="P271" s="188"/>
      <c r="Q271" s="188"/>
      <c r="R271" s="188"/>
      <c r="S271" s="188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</row>
    <row r="272" spans="1:52" ht="12.5" x14ac:dyDescent="0.25">
      <c r="A272" s="188"/>
      <c r="B272" s="188"/>
      <c r="C272" s="697" t="s">
        <v>140</v>
      </c>
      <c r="D272" s="697"/>
      <c r="E272" s="191">
        <v>9.59</v>
      </c>
      <c r="F272" s="306">
        <f>SUM(Ilmanvaihtokoneet!Q11)</f>
        <v>0</v>
      </c>
      <c r="G272" s="370">
        <f t="shared" si="12"/>
        <v>0</v>
      </c>
      <c r="H272" s="191">
        <v>17.260000000000002</v>
      </c>
      <c r="I272" s="305">
        <f>SUM(Ilmanvaihtokoneet!Q23)</f>
        <v>0</v>
      </c>
      <c r="J272" s="371">
        <f t="shared" si="13"/>
        <v>0</v>
      </c>
      <c r="K272" s="188"/>
      <c r="L272" s="188" t="s">
        <v>149</v>
      </c>
      <c r="M272" s="188"/>
      <c r="N272" s="188"/>
      <c r="O272" s="188"/>
      <c r="P272" s="188"/>
      <c r="Q272" s="188"/>
      <c r="R272" s="188"/>
      <c r="S272" s="188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</row>
    <row r="273" spans="1:52" ht="12.5" x14ac:dyDescent="0.25">
      <c r="A273" s="188"/>
      <c r="B273" s="188"/>
      <c r="C273" s="697" t="s">
        <v>142</v>
      </c>
      <c r="D273" s="697"/>
      <c r="E273" s="193">
        <v>11.5</v>
      </c>
      <c r="F273" s="306">
        <f>SUM(Ilmanvaihtokoneet!Q12)</f>
        <v>0</v>
      </c>
      <c r="G273" s="370">
        <f t="shared" si="12"/>
        <v>0</v>
      </c>
      <c r="H273" s="191">
        <v>20.77</v>
      </c>
      <c r="I273" s="305">
        <f>SUM(Ilmanvaihtokoneet!Q24)</f>
        <v>0</v>
      </c>
      <c r="J273" s="371">
        <f t="shared" si="13"/>
        <v>0</v>
      </c>
      <c r="K273" s="188"/>
      <c r="L273" s="188"/>
      <c r="M273" s="188"/>
      <c r="N273" s="188"/>
      <c r="O273" s="188"/>
      <c r="P273" s="188"/>
      <c r="Q273" s="188"/>
      <c r="R273" s="188"/>
      <c r="S273" s="188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</row>
    <row r="274" spans="1:52" ht="12.5" x14ac:dyDescent="0.25">
      <c r="A274" s="188"/>
      <c r="B274" s="188"/>
      <c r="C274" s="697" t="s">
        <v>143</v>
      </c>
      <c r="D274" s="697"/>
      <c r="E274" s="191">
        <v>13.42</v>
      </c>
      <c r="F274" s="306">
        <f>SUM(Ilmanvaihtokoneet!Q13)</f>
        <v>0</v>
      </c>
      <c r="G274" s="370">
        <f t="shared" si="12"/>
        <v>0</v>
      </c>
      <c r="H274" s="191">
        <v>23.97</v>
      </c>
      <c r="I274" s="305">
        <f>SUM(Ilmanvaihtokoneet!Q25)</f>
        <v>0</v>
      </c>
      <c r="J274" s="371">
        <f t="shared" si="13"/>
        <v>0</v>
      </c>
      <c r="K274" s="188"/>
      <c r="L274" s="188"/>
      <c r="M274" s="188"/>
      <c r="N274" s="188"/>
      <c r="O274" s="188"/>
      <c r="P274" s="188"/>
      <c r="Q274" s="188"/>
      <c r="R274" s="188"/>
      <c r="S274" s="188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</row>
    <row r="275" spans="1:52" ht="15.75" customHeight="1" thickBot="1" x14ac:dyDescent="0.35">
      <c r="A275" s="188"/>
      <c r="B275" s="188"/>
      <c r="C275" s="188"/>
      <c r="D275" s="188"/>
      <c r="E275" s="188"/>
      <c r="F275" s="206" t="s">
        <v>0</v>
      </c>
      <c r="G275" s="680">
        <f>SUM(G269:G274)</f>
        <v>0</v>
      </c>
      <c r="H275" s="204"/>
      <c r="I275" s="206" t="s">
        <v>0</v>
      </c>
      <c r="J275" s="680">
        <f>SUM(J269:J274)</f>
        <v>0</v>
      </c>
      <c r="K275" s="188"/>
      <c r="L275" s="188"/>
      <c r="M275" s="188"/>
      <c r="N275" s="188"/>
      <c r="O275" s="188"/>
      <c r="P275" s="188"/>
      <c r="Q275" s="188"/>
      <c r="R275" s="188"/>
      <c r="S275" s="188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</row>
    <row r="276" spans="1:52" ht="12.5" x14ac:dyDescent="0.25">
      <c r="A276" s="188"/>
      <c r="B276" s="188"/>
      <c r="C276" s="188"/>
      <c r="D276" s="188"/>
      <c r="E276" s="188"/>
      <c r="F276" s="188"/>
      <c r="G276" s="188"/>
      <c r="H276" s="188"/>
      <c r="I276" s="188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</row>
    <row r="277" spans="1:52" ht="15.5" x14ac:dyDescent="0.35">
      <c r="A277" s="188"/>
      <c r="B277" s="188"/>
      <c r="C277" s="197" t="s">
        <v>145</v>
      </c>
      <c r="D277" s="188"/>
      <c r="E277" s="188"/>
      <c r="F277" s="188"/>
      <c r="G277" s="188"/>
      <c r="H277" s="188"/>
      <c r="I277" s="188"/>
      <c r="J277" s="188"/>
      <c r="K277" s="188"/>
      <c r="L277" s="188"/>
      <c r="M277" s="188"/>
      <c r="N277" s="188"/>
      <c r="O277" s="188"/>
      <c r="P277" s="188"/>
      <c r="Q277" s="188"/>
      <c r="R277" s="188"/>
      <c r="S277" s="188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</row>
    <row r="278" spans="1:52" ht="12.5" x14ac:dyDescent="0.25">
      <c r="A278" s="188"/>
      <c r="B278" s="188"/>
      <c r="C278" s="188" t="s">
        <v>164</v>
      </c>
      <c r="D278" s="188"/>
      <c r="E278" s="188"/>
      <c r="F278" s="188"/>
      <c r="G278" s="188"/>
      <c r="H278" s="188"/>
      <c r="I278" s="188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</row>
    <row r="279" spans="1:52" ht="12.5" x14ac:dyDescent="0.25">
      <c r="A279" s="188"/>
      <c r="B279" s="188"/>
      <c r="C279" s="188" t="s">
        <v>165</v>
      </c>
      <c r="D279" s="188"/>
      <c r="E279" s="188"/>
      <c r="F279" s="188"/>
      <c r="G279" s="188"/>
      <c r="H279" s="188"/>
      <c r="I279" s="188"/>
      <c r="J279" s="188"/>
      <c r="K279" s="188"/>
      <c r="L279" s="188"/>
      <c r="M279" s="188"/>
      <c r="N279" s="188"/>
      <c r="O279" s="188"/>
      <c r="P279" s="188"/>
      <c r="Q279" s="188"/>
      <c r="R279" s="188"/>
      <c r="S279" s="188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</row>
    <row r="280" spans="1:52" ht="12.5" x14ac:dyDescent="0.25">
      <c r="A280" s="188"/>
      <c r="B280" s="188"/>
      <c r="C280" s="188"/>
      <c r="D280" s="188"/>
      <c r="E280" s="188"/>
      <c r="F280" s="192" t="s">
        <v>408</v>
      </c>
      <c r="G280" s="192"/>
      <c r="H280" s="192"/>
      <c r="I280" s="192" t="s">
        <v>10</v>
      </c>
      <c r="J280" s="192"/>
      <c r="K280" s="192"/>
      <c r="L280" s="192" t="s">
        <v>11</v>
      </c>
      <c r="M280" s="192"/>
      <c r="N280" s="188"/>
      <c r="O280" s="192" t="s">
        <v>26</v>
      </c>
      <c r="P280" s="188"/>
      <c r="Q280" s="188"/>
      <c r="R280" s="188"/>
      <c r="S280" s="188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</row>
    <row r="281" spans="1:52" ht="13" x14ac:dyDescent="0.3">
      <c r="A281" s="188"/>
      <c r="B281" s="203" t="s">
        <v>48</v>
      </c>
      <c r="C281" s="188"/>
      <c r="D281" s="188"/>
      <c r="E281" s="192" t="s">
        <v>0</v>
      </c>
      <c r="F281" s="192" t="s">
        <v>158</v>
      </c>
      <c r="G281" s="192" t="s">
        <v>0</v>
      </c>
      <c r="H281" s="192" t="s">
        <v>0</v>
      </c>
      <c r="I281" s="192" t="s">
        <v>158</v>
      </c>
      <c r="J281" s="192" t="s">
        <v>0</v>
      </c>
      <c r="K281" s="192" t="s">
        <v>0</v>
      </c>
      <c r="L281" s="192" t="s">
        <v>158</v>
      </c>
      <c r="M281" s="192" t="s">
        <v>0</v>
      </c>
      <c r="N281" s="192" t="s">
        <v>0</v>
      </c>
      <c r="O281" s="192" t="s">
        <v>158</v>
      </c>
      <c r="P281" s="192" t="s">
        <v>0</v>
      </c>
      <c r="Q281" s="192"/>
      <c r="R281" s="192"/>
      <c r="S281" s="188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</row>
    <row r="282" spans="1:52" ht="12.5" x14ac:dyDescent="0.25">
      <c r="A282" s="400"/>
      <c r="B282" s="189">
        <v>1</v>
      </c>
      <c r="C282" s="727" t="s">
        <v>433</v>
      </c>
      <c r="D282" s="728"/>
      <c r="E282" s="193">
        <v>1.1100000000000001</v>
      </c>
      <c r="F282" s="320">
        <f>SUM(Ilmanvaihtokoneet!G34)</f>
        <v>0</v>
      </c>
      <c r="G282" s="371">
        <f t="shared" ref="G282:G287" si="14">SUM(E282*F282)</f>
        <v>0</v>
      </c>
      <c r="H282" s="210">
        <v>1.41</v>
      </c>
      <c r="I282" s="320">
        <f>SUM(Ilmanvaihtokoneet!O34)</f>
        <v>0</v>
      </c>
      <c r="J282" s="371">
        <f t="shared" ref="J282:J287" si="15">SUM(H282*I282)</f>
        <v>0</v>
      </c>
      <c r="K282" s="211">
        <v>1.66</v>
      </c>
      <c r="L282" s="320">
        <f>SUM(Ilmanvaihtokoneet!G45)</f>
        <v>0</v>
      </c>
      <c r="M282" s="371">
        <f t="shared" ref="M282:M287" si="16">SUM(K282*L282)</f>
        <v>0</v>
      </c>
      <c r="N282" s="193">
        <v>1.66</v>
      </c>
      <c r="O282" s="320">
        <f>SUM(Ilmanvaihtokoneet!O45)</f>
        <v>0</v>
      </c>
      <c r="P282" s="371">
        <f t="shared" ref="P282:P287" si="17">SUM(N282*O282)</f>
        <v>0</v>
      </c>
      <c r="Q282" s="188"/>
      <c r="R282" s="188"/>
      <c r="S282" s="188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</row>
    <row r="283" spans="1:52" ht="12.5" x14ac:dyDescent="0.25">
      <c r="A283" s="400"/>
      <c r="B283" s="391">
        <v>2</v>
      </c>
      <c r="C283" s="705" t="s">
        <v>434</v>
      </c>
      <c r="D283" s="706"/>
      <c r="E283" s="193">
        <v>1.32</v>
      </c>
      <c r="F283" s="320">
        <f>SUM(Ilmanvaihtokoneet!G35)</f>
        <v>0</v>
      </c>
      <c r="G283" s="371">
        <f t="shared" si="14"/>
        <v>0</v>
      </c>
      <c r="H283" s="210">
        <v>1.69</v>
      </c>
      <c r="I283" s="320">
        <f>SUM(Ilmanvaihtokoneet!O35)</f>
        <v>0</v>
      </c>
      <c r="J283" s="371">
        <f t="shared" si="15"/>
        <v>0</v>
      </c>
      <c r="K283" s="193">
        <v>1.96</v>
      </c>
      <c r="L283" s="320">
        <f>SUM(Ilmanvaihtokoneet!G46)</f>
        <v>0</v>
      </c>
      <c r="M283" s="371">
        <f t="shared" si="16"/>
        <v>0</v>
      </c>
      <c r="N283" s="193">
        <v>1.96</v>
      </c>
      <c r="O283" s="320">
        <f>SUM(Ilmanvaihtokoneet!O46)</f>
        <v>0</v>
      </c>
      <c r="P283" s="371">
        <f t="shared" si="17"/>
        <v>0</v>
      </c>
      <c r="Q283" s="188"/>
      <c r="R283" s="188"/>
      <c r="S283" s="188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</row>
    <row r="284" spans="1:52" ht="12.5" x14ac:dyDescent="0.25">
      <c r="A284" s="400"/>
      <c r="B284" s="391">
        <v>3</v>
      </c>
      <c r="C284" s="705" t="s">
        <v>435</v>
      </c>
      <c r="D284" s="706"/>
      <c r="E284" s="209">
        <v>2.04</v>
      </c>
      <c r="F284" s="320">
        <f>SUM(Ilmanvaihtokoneet!G36)</f>
        <v>0</v>
      </c>
      <c r="G284" s="371">
        <f t="shared" si="14"/>
        <v>0</v>
      </c>
      <c r="H284" s="210">
        <v>2.69</v>
      </c>
      <c r="I284" s="320">
        <f>SUM(Ilmanvaihtokoneet!O36)</f>
        <v>0</v>
      </c>
      <c r="J284" s="371">
        <f t="shared" si="15"/>
        <v>0</v>
      </c>
      <c r="K284" s="193">
        <v>2.95</v>
      </c>
      <c r="L284" s="320">
        <f>SUM(Ilmanvaihtokoneet!G47)</f>
        <v>0</v>
      </c>
      <c r="M284" s="371">
        <f t="shared" si="16"/>
        <v>0</v>
      </c>
      <c r="N284" s="193">
        <v>2.95</v>
      </c>
      <c r="O284" s="320">
        <f>SUM(Ilmanvaihtokoneet!O47)</f>
        <v>0</v>
      </c>
      <c r="P284" s="371">
        <f t="shared" si="17"/>
        <v>0</v>
      </c>
      <c r="Q284" s="188"/>
      <c r="R284" s="188"/>
      <c r="S284" s="188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</row>
    <row r="285" spans="1:52" ht="12.5" x14ac:dyDescent="0.25">
      <c r="A285" s="400"/>
      <c r="B285" s="391">
        <v>4</v>
      </c>
      <c r="C285" s="705" t="s">
        <v>436</v>
      </c>
      <c r="D285" s="706"/>
      <c r="E285" s="209">
        <v>2.36</v>
      </c>
      <c r="F285" s="320">
        <f>SUM(Ilmanvaihtokoneet!G37)</f>
        <v>0</v>
      </c>
      <c r="G285" s="371">
        <f t="shared" si="14"/>
        <v>0</v>
      </c>
      <c r="H285" s="210">
        <v>3.06</v>
      </c>
      <c r="I285" s="320">
        <f>SUM(Ilmanvaihtokoneet!O37)</f>
        <v>0</v>
      </c>
      <c r="J285" s="371">
        <f t="shared" si="15"/>
        <v>0</v>
      </c>
      <c r="K285" s="193">
        <v>3.35</v>
      </c>
      <c r="L285" s="320">
        <f>SUM(Ilmanvaihtokoneet!G48)</f>
        <v>0</v>
      </c>
      <c r="M285" s="371">
        <f t="shared" si="16"/>
        <v>0</v>
      </c>
      <c r="N285" s="193">
        <v>3.35</v>
      </c>
      <c r="O285" s="320">
        <f>SUM(Ilmanvaihtokoneet!O48)</f>
        <v>0</v>
      </c>
      <c r="P285" s="371">
        <f t="shared" si="17"/>
        <v>0</v>
      </c>
      <c r="Q285" s="188"/>
      <c r="R285" s="188"/>
      <c r="S285" s="188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</row>
    <row r="286" spans="1:52" ht="12.5" x14ac:dyDescent="0.25">
      <c r="A286" s="400"/>
      <c r="B286" s="391">
        <v>5</v>
      </c>
      <c r="C286" s="705" t="s">
        <v>437</v>
      </c>
      <c r="D286" s="706"/>
      <c r="E286" s="193">
        <v>2.68</v>
      </c>
      <c r="F286" s="320">
        <f>SUM(Ilmanvaihtokoneet!G38)</f>
        <v>0</v>
      </c>
      <c r="G286" s="371">
        <f t="shared" si="14"/>
        <v>0</v>
      </c>
      <c r="H286" s="210">
        <v>3.49</v>
      </c>
      <c r="I286" s="320">
        <f>SUM(Ilmanvaihtokoneet!O38)</f>
        <v>0</v>
      </c>
      <c r="J286" s="371">
        <f t="shared" si="15"/>
        <v>0</v>
      </c>
      <c r="K286" s="193">
        <v>3.74</v>
      </c>
      <c r="L286" s="320">
        <f>SUM(Ilmanvaihtokoneet!G49)</f>
        <v>0</v>
      </c>
      <c r="M286" s="371">
        <f t="shared" si="16"/>
        <v>0</v>
      </c>
      <c r="N286" s="193">
        <v>3.74</v>
      </c>
      <c r="O286" s="320">
        <f>SUM(Ilmanvaihtokoneet!O49)</f>
        <v>0</v>
      </c>
      <c r="P286" s="371">
        <f t="shared" si="17"/>
        <v>0</v>
      </c>
      <c r="Q286" s="188"/>
      <c r="R286" s="188"/>
      <c r="S286" s="188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</row>
    <row r="287" spans="1:52" ht="12.5" x14ac:dyDescent="0.25">
      <c r="A287" s="400"/>
      <c r="B287" s="390">
        <v>6</v>
      </c>
      <c r="C287" s="722" t="s">
        <v>141</v>
      </c>
      <c r="D287" s="723"/>
      <c r="E287" s="193">
        <v>3.01</v>
      </c>
      <c r="F287" s="320">
        <f>SUM(Ilmanvaihtokoneet!G39)</f>
        <v>0</v>
      </c>
      <c r="G287" s="371">
        <f t="shared" si="14"/>
        <v>0</v>
      </c>
      <c r="H287" s="210">
        <v>3.94</v>
      </c>
      <c r="I287" s="320">
        <f>SUM(Ilmanvaihtokoneet!O39)</f>
        <v>0</v>
      </c>
      <c r="J287" s="371">
        <f t="shared" si="15"/>
        <v>0</v>
      </c>
      <c r="K287" s="193">
        <v>4.1399999999999997</v>
      </c>
      <c r="L287" s="320">
        <f>SUM(Ilmanvaihtokoneet!G50)</f>
        <v>0</v>
      </c>
      <c r="M287" s="371">
        <f t="shared" si="16"/>
        <v>0</v>
      </c>
      <c r="N287" s="193">
        <v>4.1399999999999997</v>
      </c>
      <c r="O287" s="320">
        <f>SUM(Ilmanvaihtokoneet!O50)</f>
        <v>0</v>
      </c>
      <c r="P287" s="371">
        <f t="shared" si="17"/>
        <v>0</v>
      </c>
      <c r="Q287" s="188"/>
      <c r="R287" s="188"/>
      <c r="S287" s="188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</row>
    <row r="288" spans="1:52" ht="18" customHeight="1" thickBot="1" x14ac:dyDescent="0.3">
      <c r="A288" s="188"/>
      <c r="B288" s="188"/>
      <c r="C288" s="192"/>
      <c r="D288" s="192"/>
      <c r="E288" s="196"/>
      <c r="F288" s="196" t="s">
        <v>0</v>
      </c>
      <c r="G288" s="680">
        <f>SUM(G282:G287)</f>
        <v>0</v>
      </c>
      <c r="H288" s="208"/>
      <c r="I288" s="207" t="s">
        <v>0</v>
      </c>
      <c r="J288" s="680">
        <f>SUM(J282:J287)</f>
        <v>0</v>
      </c>
      <c r="K288" s="208"/>
      <c r="L288" s="207" t="s">
        <v>0</v>
      </c>
      <c r="M288" s="680">
        <f>SUM(M282:M287)</f>
        <v>0</v>
      </c>
      <c r="N288" s="208"/>
      <c r="O288" s="196" t="s">
        <v>0</v>
      </c>
      <c r="P288" s="680">
        <f>SUM(P282:P287)</f>
        <v>0</v>
      </c>
      <c r="Q288" s="188"/>
      <c r="R288" s="188"/>
      <c r="S288" s="188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</row>
    <row r="289" spans="1:52" ht="12.5" x14ac:dyDescent="0.25">
      <c r="A289" s="188"/>
      <c r="B289" s="188"/>
      <c r="C289" s="188"/>
      <c r="D289" s="188"/>
      <c r="E289" s="188"/>
      <c r="F289" s="188"/>
      <c r="G289" s="188"/>
      <c r="H289" s="188"/>
      <c r="I289" s="188"/>
      <c r="J289" s="188"/>
      <c r="K289" s="188"/>
      <c r="L289" s="188"/>
      <c r="M289" s="188"/>
      <c r="N289" s="188"/>
      <c r="O289" s="188"/>
      <c r="P289" s="188"/>
      <c r="Q289" s="188"/>
      <c r="R289" s="188"/>
      <c r="S289" s="188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</row>
    <row r="290" spans="1:52" ht="12.5" x14ac:dyDescent="0.25">
      <c r="A290" s="188"/>
      <c r="B290" s="188"/>
      <c r="C290" s="188"/>
      <c r="D290" s="188"/>
      <c r="E290" s="188"/>
      <c r="F290" s="188"/>
      <c r="G290" s="188"/>
      <c r="H290" s="188"/>
      <c r="I290" s="188"/>
      <c r="J290" s="188"/>
      <c r="K290" s="188"/>
      <c r="L290" s="188"/>
      <c r="M290" s="188"/>
      <c r="N290" s="188"/>
      <c r="O290" s="188"/>
      <c r="P290" s="188"/>
      <c r="Q290" s="188"/>
      <c r="R290" s="188"/>
      <c r="S290" s="188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</row>
    <row r="291" spans="1:52" ht="12.5" x14ac:dyDescent="0.25">
      <c r="A291" s="188"/>
      <c r="B291" s="188"/>
      <c r="C291" s="188"/>
      <c r="D291" s="188"/>
      <c r="E291" s="188"/>
      <c r="F291" s="188"/>
      <c r="G291" s="188"/>
      <c r="H291" s="188"/>
      <c r="I291" s="188"/>
      <c r="J291" s="188"/>
      <c r="K291" s="188"/>
      <c r="L291" s="188"/>
      <c r="M291" s="188"/>
      <c r="N291" s="188"/>
      <c r="O291" s="188"/>
      <c r="P291" s="188"/>
      <c r="Q291" s="188"/>
      <c r="R291" s="188"/>
      <c r="S291" s="188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</row>
    <row r="292" spans="1:52" ht="12.5" x14ac:dyDescent="0.25">
      <c r="A292" s="188"/>
      <c r="B292" s="188"/>
      <c r="C292" s="188"/>
      <c r="D292" s="188"/>
      <c r="E292" s="188"/>
      <c r="F292" s="188"/>
      <c r="G292" s="188"/>
      <c r="H292" s="188"/>
      <c r="I292" s="188"/>
      <c r="J292" s="188"/>
      <c r="K292" s="188"/>
      <c r="L292" s="188"/>
      <c r="M292" s="188"/>
      <c r="N292" s="188"/>
      <c r="O292" s="188"/>
      <c r="P292" s="188"/>
      <c r="Q292" s="188"/>
      <c r="R292" s="188"/>
      <c r="S292" s="188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</row>
    <row r="293" spans="1:52" ht="12.5" x14ac:dyDescent="0.25">
      <c r="A293" s="188"/>
      <c r="B293" s="188"/>
      <c r="C293" s="188"/>
      <c r="D293" s="188"/>
      <c r="E293" s="188"/>
      <c r="F293" s="188"/>
      <c r="G293" s="188"/>
      <c r="H293" s="188"/>
      <c r="I293" s="188"/>
      <c r="J293" s="188"/>
      <c r="K293" s="188"/>
      <c r="L293" s="188"/>
      <c r="M293" s="188"/>
      <c r="N293" s="188"/>
      <c r="O293" s="188"/>
      <c r="P293" s="188"/>
      <c r="Q293" s="188"/>
      <c r="R293" s="188"/>
      <c r="S293" s="188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</row>
    <row r="294" spans="1:52" ht="12.5" x14ac:dyDescent="0.25">
      <c r="A294" s="188"/>
      <c r="B294" s="188"/>
      <c r="C294" s="188"/>
      <c r="D294" s="188"/>
      <c r="E294" s="188"/>
      <c r="F294" s="188"/>
      <c r="G294" s="188"/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</row>
    <row r="295" spans="1:52" ht="12.5" x14ac:dyDescent="0.25">
      <c r="A295" s="188"/>
      <c r="B295" s="188"/>
      <c r="C295" s="188"/>
      <c r="D295" s="188"/>
      <c r="E295" s="188"/>
      <c r="F295" s="188"/>
      <c r="G295" s="188"/>
      <c r="H295" s="188"/>
      <c r="I295" s="188"/>
      <c r="J295" s="188"/>
      <c r="K295" s="188"/>
      <c r="L295" s="188"/>
      <c r="M295" s="188"/>
      <c r="N295" s="188"/>
      <c r="O295" s="188"/>
      <c r="P295" s="188"/>
      <c r="Q295" s="188"/>
      <c r="R295" s="188"/>
      <c r="S295" s="188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</row>
    <row r="296" spans="1:52" ht="20.25" customHeight="1" thickBot="1" x14ac:dyDescent="0.35">
      <c r="A296" s="188"/>
      <c r="B296" s="188"/>
      <c r="C296" s="188"/>
      <c r="D296" s="188"/>
      <c r="E296" s="188"/>
      <c r="F296" s="188"/>
      <c r="G296" s="188"/>
      <c r="H296" s="188"/>
      <c r="I296" s="188"/>
      <c r="J296" s="188"/>
      <c r="K296" s="188"/>
      <c r="L296" s="188"/>
      <c r="M296" s="188"/>
      <c r="N296" s="188"/>
      <c r="O296" s="188"/>
      <c r="P296" s="204" t="s">
        <v>220</v>
      </c>
      <c r="Q296" s="204" t="s">
        <v>0</v>
      </c>
      <c r="R296" s="672">
        <f>SUM(G275+J275+G288+J288+M288+P288)</f>
        <v>0</v>
      </c>
      <c r="S296" s="188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</row>
    <row r="297" spans="1:52" ht="7" customHeight="1" x14ac:dyDescent="0.25">
      <c r="A297" s="188"/>
      <c r="B297" s="188"/>
      <c r="C297" s="188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</row>
    <row r="298" spans="1:52" ht="7" customHeight="1" x14ac:dyDescent="0.25">
      <c r="A298" s="188"/>
      <c r="B298" s="192"/>
      <c r="C298" s="201"/>
      <c r="D298" s="188"/>
      <c r="E298" s="201"/>
      <c r="F298" s="188"/>
      <c r="G298" s="188"/>
      <c r="H298" s="188"/>
      <c r="I298" s="188"/>
      <c r="J298" s="188"/>
      <c r="K298" s="188"/>
      <c r="L298" s="188"/>
      <c r="M298" s="188"/>
      <c r="N298" s="188"/>
      <c r="O298" s="188"/>
      <c r="P298" s="188"/>
      <c r="Q298" s="188"/>
      <c r="R298" s="188"/>
      <c r="S298" s="188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</row>
    <row r="299" spans="1:52" ht="7" customHeight="1" x14ac:dyDescent="0.25">
      <c r="A299" s="188"/>
      <c r="B299" s="192"/>
      <c r="C299" s="201"/>
      <c r="D299" s="188"/>
      <c r="E299" s="201"/>
      <c r="F299" s="188"/>
      <c r="G299" s="188"/>
      <c r="H299" s="188"/>
      <c r="I299" s="188"/>
      <c r="J299" s="188"/>
      <c r="K299" s="188"/>
      <c r="L299" s="188"/>
      <c r="M299" s="188"/>
      <c r="N299" s="188"/>
      <c r="O299" s="188"/>
      <c r="P299" s="188"/>
      <c r="Q299" s="188"/>
      <c r="R299" s="188"/>
      <c r="S299" s="188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</row>
    <row r="300" spans="1:52" ht="7" customHeight="1" x14ac:dyDescent="0.25">
      <c r="C300" s="46"/>
      <c r="D300" s="5"/>
      <c r="E300" s="46"/>
      <c r="F300" s="5"/>
      <c r="G300" s="5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</row>
    <row r="301" spans="1:52" ht="7" customHeight="1" x14ac:dyDescent="0.25">
      <c r="C301" s="46"/>
      <c r="D301" s="5"/>
      <c r="E301" s="46"/>
      <c r="F301" s="5"/>
      <c r="G301" s="5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</row>
    <row r="302" spans="1:52" ht="15.5" x14ac:dyDescent="0.35">
      <c r="B302" s="35" t="s">
        <v>519</v>
      </c>
      <c r="C302" s="35"/>
      <c r="D302" s="5"/>
      <c r="E302" s="36"/>
      <c r="F302" s="5"/>
      <c r="G302" s="5"/>
      <c r="J302" s="326" t="s">
        <v>234</v>
      </c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</row>
    <row r="303" spans="1:52" ht="15.5" x14ac:dyDescent="0.35">
      <c r="B303" s="35"/>
      <c r="C303" s="35"/>
      <c r="D303" s="5"/>
      <c r="E303" s="36"/>
      <c r="F303" s="5"/>
      <c r="G303" s="5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</row>
    <row r="304" spans="1:52" ht="12.5" x14ac:dyDescent="0.25">
      <c r="B304" s="17"/>
      <c r="C304" s="5"/>
      <c r="D304" s="5"/>
      <c r="E304" s="5"/>
      <c r="F304" s="5"/>
      <c r="G304" s="5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</row>
    <row r="305" spans="1:52" ht="13" x14ac:dyDescent="0.3">
      <c r="A305" s="41"/>
      <c r="B305" s="9" t="s">
        <v>63</v>
      </c>
      <c r="C305" s="19"/>
      <c r="D305" s="17"/>
      <c r="E305" s="17"/>
      <c r="F305" s="17"/>
      <c r="G305" s="12"/>
      <c r="H305" s="13" t="s">
        <v>50</v>
      </c>
      <c r="I305" s="13" t="s">
        <v>158</v>
      </c>
      <c r="J305" s="13" t="s">
        <v>0</v>
      </c>
      <c r="L305" s="59" t="s">
        <v>67</v>
      </c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</row>
    <row r="306" spans="1:52" ht="13" x14ac:dyDescent="0.3">
      <c r="A306" s="41"/>
      <c r="B306" s="2" t="s">
        <v>44</v>
      </c>
      <c r="C306" s="2"/>
      <c r="D306" s="2"/>
      <c r="E306" s="2"/>
      <c r="F306" s="2"/>
      <c r="G306" s="11"/>
      <c r="H306" s="13">
        <v>2.2799999999999998</v>
      </c>
      <c r="I306" s="179">
        <f>SUM(Pienkojeet!Q6)</f>
        <v>0</v>
      </c>
      <c r="J306" s="97">
        <f>SUM(I306*2.28)</f>
        <v>0</v>
      </c>
      <c r="M306" s="59" t="s">
        <v>455</v>
      </c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</row>
    <row r="307" spans="1:52" ht="13" x14ac:dyDescent="0.3">
      <c r="A307" s="41"/>
      <c r="B307" s="38" t="s">
        <v>13</v>
      </c>
      <c r="C307" s="38"/>
      <c r="D307" s="38"/>
      <c r="E307" s="38"/>
      <c r="F307" s="38"/>
      <c r="G307" s="9"/>
      <c r="H307" s="39">
        <v>3.7</v>
      </c>
      <c r="I307" s="179">
        <f>SUM(Pienkojeet!Q7)</f>
        <v>0</v>
      </c>
      <c r="J307" s="97">
        <f>SUM(I307*3.7)</f>
        <v>0</v>
      </c>
      <c r="M307" s="80" t="s">
        <v>456</v>
      </c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</row>
    <row r="308" spans="1:52" ht="12.5" x14ac:dyDescent="0.25">
      <c r="A308" s="41"/>
      <c r="B308" s="5" t="s">
        <v>39</v>
      </c>
      <c r="C308" s="5"/>
      <c r="D308" s="5"/>
      <c r="E308" s="5"/>
      <c r="F308" s="5"/>
      <c r="G308" s="41"/>
      <c r="H308" s="39">
        <v>3.4</v>
      </c>
      <c r="I308" s="179">
        <f>SUM(Pienkojeet!Q8)</f>
        <v>0</v>
      </c>
      <c r="J308" s="97">
        <f>SUM(I308*3.4)</f>
        <v>0</v>
      </c>
      <c r="M308" s="18"/>
      <c r="N308" s="385" t="s">
        <v>49</v>
      </c>
      <c r="O308" s="356" t="s">
        <v>12</v>
      </c>
      <c r="P308" s="356" t="s">
        <v>158</v>
      </c>
      <c r="Q308" s="356" t="s">
        <v>0</v>
      </c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</row>
    <row r="309" spans="1:52" ht="12.5" x14ac:dyDescent="0.25">
      <c r="A309" s="41"/>
      <c r="B309" s="445" t="s">
        <v>454</v>
      </c>
      <c r="C309" s="38"/>
      <c r="D309" s="38"/>
      <c r="E309" s="38"/>
      <c r="F309" s="38"/>
      <c r="G309" s="9"/>
      <c r="H309" s="39">
        <v>5</v>
      </c>
      <c r="I309" s="179">
        <f>SUM(Pienkojeet!Q9)</f>
        <v>0</v>
      </c>
      <c r="J309" s="97">
        <f>SUM(I309*5)</f>
        <v>0</v>
      </c>
      <c r="M309" s="356" t="s">
        <v>5</v>
      </c>
      <c r="N309" s="386" t="s">
        <v>403</v>
      </c>
      <c r="O309" s="13">
        <v>6</v>
      </c>
      <c r="P309" s="387">
        <f>SUM(Pienkojeet!Q92)</f>
        <v>0</v>
      </c>
      <c r="Q309" s="13">
        <f>SUM(O309*P309)</f>
        <v>0</v>
      </c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</row>
    <row r="310" spans="1:52" ht="12.5" x14ac:dyDescent="0.25">
      <c r="A310" s="41"/>
      <c r="B310" s="17" t="s">
        <v>74</v>
      </c>
      <c r="C310" s="17"/>
      <c r="D310" s="17"/>
      <c r="E310" s="17"/>
      <c r="F310" s="17"/>
      <c r="G310" s="12"/>
      <c r="H310" s="39">
        <v>1.99</v>
      </c>
      <c r="I310" s="179">
        <f>SUM(Pienkojeet!Q10)</f>
        <v>0</v>
      </c>
      <c r="J310" s="97">
        <f>SUM(I310*1.99)</f>
        <v>0</v>
      </c>
      <c r="M310" s="356" t="s">
        <v>6</v>
      </c>
      <c r="N310" s="386" t="s">
        <v>404</v>
      </c>
      <c r="O310" s="13">
        <v>8</v>
      </c>
      <c r="P310" s="387">
        <f>SUM(Pienkojeet!Q93)</f>
        <v>0</v>
      </c>
      <c r="Q310" s="13">
        <f>SUM(O310*P310)</f>
        <v>0</v>
      </c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</row>
    <row r="311" spans="1:52" ht="12.5" x14ac:dyDescent="0.25">
      <c r="A311" s="41"/>
      <c r="B311" s="5" t="s">
        <v>62</v>
      </c>
      <c r="C311" s="37"/>
      <c r="D311" s="2"/>
      <c r="E311" s="2"/>
      <c r="F311" s="42"/>
      <c r="G311" s="11"/>
      <c r="H311" s="23">
        <v>1.92</v>
      </c>
      <c r="I311" s="179">
        <f>SUM(Pienkojeet!Q11)</f>
        <v>0</v>
      </c>
      <c r="J311" s="97">
        <f>SUM(I311*1.92)</f>
        <v>0</v>
      </c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</row>
    <row r="312" spans="1:52" ht="13.5" thickBot="1" x14ac:dyDescent="0.35">
      <c r="A312" s="41"/>
      <c r="B312" s="18" t="s">
        <v>41</v>
      </c>
      <c r="C312" s="38"/>
      <c r="D312" s="707" t="s">
        <v>406</v>
      </c>
      <c r="E312" s="707"/>
      <c r="F312" s="725"/>
      <c r="G312" s="726"/>
      <c r="H312" s="44">
        <v>0.48</v>
      </c>
      <c r="I312" s="179">
        <f>SUM(Pienkojeet!Q12)</f>
        <v>0</v>
      </c>
      <c r="J312" s="97">
        <f>SUM(I312*0.48)</f>
        <v>0</v>
      </c>
      <c r="P312" s="89" t="s">
        <v>0</v>
      </c>
      <c r="Q312" s="676">
        <f>SUM(Q309:Q310)</f>
        <v>0</v>
      </c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</row>
    <row r="313" spans="1:52" ht="12.5" x14ac:dyDescent="0.25">
      <c r="A313" s="41"/>
      <c r="B313" s="18" t="s">
        <v>41</v>
      </c>
      <c r="C313" s="38"/>
      <c r="D313" s="707" t="s">
        <v>407</v>
      </c>
      <c r="E313" s="707"/>
      <c r="F313" s="725"/>
      <c r="G313" s="726"/>
      <c r="H313" s="33">
        <v>0.64</v>
      </c>
      <c r="I313" s="179">
        <f>SUM(Pienkojeet!Q13)</f>
        <v>0</v>
      </c>
      <c r="J313" s="97">
        <f>SUM(I313*0.64)</f>
        <v>0</v>
      </c>
      <c r="O313" s="732" t="s">
        <v>415</v>
      </c>
      <c r="P313" s="732"/>
      <c r="Q313" s="732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</row>
    <row r="314" spans="1:52" ht="12.5" x14ac:dyDescent="0.25">
      <c r="A314" s="41"/>
      <c r="B314" s="412" t="s">
        <v>409</v>
      </c>
      <c r="C314" s="38"/>
      <c r="D314" s="401"/>
      <c r="E314" s="401"/>
      <c r="F314" s="43"/>
      <c r="G314" s="44"/>
      <c r="H314" s="39">
        <v>1.75</v>
      </c>
      <c r="I314" s="179">
        <f>SUM(Pienkojeet!Q14)</f>
        <v>0</v>
      </c>
      <c r="J314" s="97">
        <f>SUM(I314*1.75)</f>
        <v>0</v>
      </c>
      <c r="O314" s="733"/>
      <c r="P314" s="733"/>
      <c r="Q314" s="733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</row>
    <row r="315" spans="1:52" ht="12.5" x14ac:dyDescent="0.25">
      <c r="B315" s="413" t="s">
        <v>410</v>
      </c>
      <c r="C315" s="17"/>
      <c r="D315" s="411"/>
      <c r="E315" s="411"/>
      <c r="F315" s="45"/>
      <c r="G315" s="33"/>
      <c r="H315" s="39">
        <v>2.5</v>
      </c>
      <c r="I315" s="179">
        <f>SUM(Pienkojeet!Q15)</f>
        <v>0</v>
      </c>
      <c r="J315" s="97">
        <f>SUM(I315*2.5)</f>
        <v>0</v>
      </c>
      <c r="O315" s="356" t="s">
        <v>0</v>
      </c>
      <c r="P315" s="356" t="s">
        <v>158</v>
      </c>
      <c r="Q315" s="356" t="s">
        <v>0</v>
      </c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</row>
    <row r="316" spans="1:52" ht="15.75" customHeight="1" x14ac:dyDescent="0.65">
      <c r="K316" s="59"/>
      <c r="O316" s="444">
        <v>0.25</v>
      </c>
      <c r="P316" s="684">
        <f>SUM(Pienkojeet!Q99)</f>
        <v>0</v>
      </c>
      <c r="Q316" s="685">
        <f>SUM(P316*0.25)</f>
        <v>0</v>
      </c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</row>
    <row r="317" spans="1:52" ht="12.5" x14ac:dyDescent="0.25">
      <c r="B317" s="5"/>
      <c r="C317" s="5"/>
      <c r="D317" s="5"/>
      <c r="E317" s="5"/>
      <c r="F317" s="5"/>
      <c r="G317" s="5"/>
      <c r="I317" s="172"/>
      <c r="J317" s="169"/>
      <c r="O317" s="8"/>
      <c r="Q317" s="2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</row>
    <row r="318" spans="1:52" ht="13.5" thickBot="1" x14ac:dyDescent="0.35">
      <c r="B318" s="5" t="s">
        <v>47</v>
      </c>
      <c r="C318" s="5"/>
      <c r="D318" s="5"/>
      <c r="E318" s="5"/>
      <c r="F318" s="5"/>
      <c r="G318" s="5"/>
      <c r="H318" s="15"/>
      <c r="I318" s="171" t="s">
        <v>0</v>
      </c>
      <c r="J318" s="676">
        <f>SUM(J306:J315)</f>
        <v>0</v>
      </c>
      <c r="P318" s="417" t="s">
        <v>0</v>
      </c>
      <c r="Q318" s="675">
        <f>SUM(Q316)</f>
        <v>0</v>
      </c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</row>
    <row r="319" spans="1:52" ht="7.5" customHeight="1" x14ac:dyDescent="0.25">
      <c r="B319" s="5"/>
      <c r="C319" s="5"/>
      <c r="D319" s="5"/>
      <c r="E319" s="5"/>
      <c r="F319" s="5"/>
      <c r="G319" s="5"/>
      <c r="J319" s="80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</row>
    <row r="320" spans="1:52" ht="8.25" customHeight="1" x14ac:dyDescent="0.25">
      <c r="B320" s="5"/>
      <c r="C320" s="5"/>
      <c r="D320" s="5"/>
      <c r="E320" s="5"/>
      <c r="F320" s="5"/>
      <c r="G320" s="5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</row>
    <row r="321" spans="1:52" ht="13" x14ac:dyDescent="0.3">
      <c r="B321" s="5"/>
      <c r="C321" s="59"/>
      <c r="D321" s="59"/>
      <c r="E321" s="59"/>
      <c r="F321" s="5"/>
      <c r="G321" s="5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</row>
    <row r="322" spans="1:52" ht="13.5" thickBot="1" x14ac:dyDescent="0.35">
      <c r="B322" s="59" t="s">
        <v>491</v>
      </c>
      <c r="C322" s="59"/>
      <c r="D322" s="59"/>
      <c r="E322" s="59"/>
      <c r="F322" s="5"/>
      <c r="G322" s="5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</row>
    <row r="323" spans="1:52" ht="13" x14ac:dyDescent="0.3">
      <c r="B323" s="59" t="s">
        <v>527</v>
      </c>
      <c r="C323" s="59"/>
      <c r="D323" s="59"/>
      <c r="E323" s="59"/>
      <c r="F323" s="5"/>
      <c r="G323" s="5"/>
      <c r="L323" s="734" t="s">
        <v>482</v>
      </c>
      <c r="M323" s="735"/>
      <c r="N323" s="735"/>
      <c r="O323" s="735"/>
      <c r="P323" s="735"/>
      <c r="Q323" s="735"/>
      <c r="R323" s="736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</row>
    <row r="324" spans="1:52" ht="12.75" customHeight="1" x14ac:dyDescent="0.25">
      <c r="B324" s="80" t="s">
        <v>488</v>
      </c>
      <c r="C324" s="5"/>
      <c r="D324" s="5"/>
      <c r="E324" s="5"/>
      <c r="F324" s="5"/>
      <c r="G324" s="5"/>
      <c r="L324" s="30"/>
      <c r="M324" s="715" t="s">
        <v>484</v>
      </c>
      <c r="N324" s="715"/>
      <c r="O324" s="715"/>
      <c r="P324" s="743" t="s">
        <v>483</v>
      </c>
      <c r="Q324" s="743"/>
      <c r="R324" s="744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</row>
    <row r="325" spans="1:52" ht="12.75" customHeight="1" x14ac:dyDescent="0.25">
      <c r="B325" s="80" t="s">
        <v>489</v>
      </c>
      <c r="C325" s="5"/>
      <c r="D325" s="5"/>
      <c r="E325" s="5"/>
      <c r="F325" s="5"/>
      <c r="G325" s="5"/>
      <c r="L325" s="30"/>
      <c r="M325" s="715"/>
      <c r="N325" s="715"/>
      <c r="O325" s="715"/>
      <c r="P325" s="743"/>
      <c r="Q325" s="743"/>
      <c r="R325" s="744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</row>
    <row r="326" spans="1:52" ht="12" customHeight="1" thickBot="1" x14ac:dyDescent="0.3">
      <c r="B326" s="5"/>
      <c r="C326" s="5"/>
      <c r="D326" s="5"/>
      <c r="E326" s="5"/>
      <c r="F326" s="5"/>
      <c r="G326" s="5"/>
      <c r="L326" s="579" t="s">
        <v>413</v>
      </c>
      <c r="M326" s="14" t="s">
        <v>12</v>
      </c>
      <c r="N326" s="13" t="s">
        <v>158</v>
      </c>
      <c r="O326" s="13" t="s">
        <v>0</v>
      </c>
      <c r="P326" s="14" t="s">
        <v>12</v>
      </c>
      <c r="Q326" s="13" t="s">
        <v>158</v>
      </c>
      <c r="R326" s="580" t="s">
        <v>0</v>
      </c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</row>
    <row r="327" spans="1:52" ht="14.25" customHeight="1" x14ac:dyDescent="0.25">
      <c r="A327" s="737" t="s">
        <v>494</v>
      </c>
      <c r="B327" s="738"/>
      <c r="C327" s="738"/>
      <c r="D327" s="738"/>
      <c r="E327" s="738"/>
      <c r="F327" s="738"/>
      <c r="G327" s="739"/>
      <c r="H327" s="729" t="s">
        <v>411</v>
      </c>
      <c r="I327" s="730"/>
      <c r="J327" s="730"/>
      <c r="K327" s="730"/>
      <c r="L327" s="581">
        <v>-1500</v>
      </c>
      <c r="M327" s="22">
        <v>1.24</v>
      </c>
      <c r="N327" s="179">
        <f>SUM(Pienkojeet!Q60)</f>
        <v>0</v>
      </c>
      <c r="O327" s="97">
        <f>SUM(N327*M327)</f>
        <v>0</v>
      </c>
      <c r="P327" s="22">
        <v>1.35</v>
      </c>
      <c r="Q327" s="179">
        <f>SUM(Pienkojeet!O76)</f>
        <v>0</v>
      </c>
      <c r="R327" s="582">
        <f>SUM(Q327*P327)</f>
        <v>0</v>
      </c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</row>
    <row r="328" spans="1:52" ht="13" x14ac:dyDescent="0.3">
      <c r="A328" s="755" t="s">
        <v>49</v>
      </c>
      <c r="B328" s="740">
        <v>1</v>
      </c>
      <c r="C328" s="741"/>
      <c r="D328" s="742"/>
      <c r="E328" s="740">
        <v>2</v>
      </c>
      <c r="F328" s="741"/>
      <c r="G328" s="754"/>
      <c r="H328" s="578" t="s">
        <v>413</v>
      </c>
      <c r="I328" s="14" t="s">
        <v>12</v>
      </c>
      <c r="J328" s="13" t="s">
        <v>158</v>
      </c>
      <c r="K328" s="56" t="s">
        <v>0</v>
      </c>
      <c r="L328" s="581">
        <v>-2000</v>
      </c>
      <c r="M328" s="22">
        <v>1.58</v>
      </c>
      <c r="N328" s="179">
        <f>SUM(Pienkojeet!Q61)</f>
        <v>0</v>
      </c>
      <c r="O328" s="97">
        <f t="shared" ref="O328:O336" si="18">SUM(N328*M328)</f>
        <v>0</v>
      </c>
      <c r="P328" s="22">
        <v>1.72</v>
      </c>
      <c r="Q328" s="179">
        <f>SUM(Pienkojeet!O77)</f>
        <v>0</v>
      </c>
      <c r="R328" s="582">
        <f t="shared" ref="R328:R336" si="19">SUM(Q328*P328)</f>
        <v>0</v>
      </c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</row>
    <row r="329" spans="1:52" ht="12.5" x14ac:dyDescent="0.25">
      <c r="A329" s="756"/>
      <c r="B329" s="14" t="s">
        <v>12</v>
      </c>
      <c r="C329" s="13" t="s">
        <v>158</v>
      </c>
      <c r="D329" s="13" t="s">
        <v>0</v>
      </c>
      <c r="E329" s="14" t="s">
        <v>12</v>
      </c>
      <c r="F329" s="13" t="s">
        <v>158</v>
      </c>
      <c r="G329" s="580" t="s">
        <v>0</v>
      </c>
      <c r="H329" s="57">
        <v>-1500</v>
      </c>
      <c r="I329" s="22">
        <v>1.5</v>
      </c>
      <c r="J329" s="179">
        <f>SUM(Pienkojeet!Q46)</f>
        <v>0</v>
      </c>
      <c r="K329" s="587">
        <f>SUM(J329*1.5)</f>
        <v>0</v>
      </c>
      <c r="L329" s="581">
        <v>-2500</v>
      </c>
      <c r="M329" s="22">
        <v>1.83</v>
      </c>
      <c r="N329" s="179">
        <f>SUM(Pienkojeet!Q62)</f>
        <v>0</v>
      </c>
      <c r="O329" s="97">
        <f t="shared" si="18"/>
        <v>0</v>
      </c>
      <c r="P329" s="22">
        <v>1.98</v>
      </c>
      <c r="Q329" s="179">
        <f>SUM(Pienkojeet!O78)</f>
        <v>0</v>
      </c>
      <c r="R329" s="582">
        <f t="shared" si="19"/>
        <v>0</v>
      </c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</row>
    <row r="330" spans="1:52" ht="12.5" x14ac:dyDescent="0.25">
      <c r="A330" s="581">
        <v>-15</v>
      </c>
      <c r="B330" s="22">
        <v>1.04</v>
      </c>
      <c r="C330" s="179">
        <f>SUM(Pienkojeet!Q22)</f>
        <v>0</v>
      </c>
      <c r="D330" s="97">
        <f>SUM(B330*C330)</f>
        <v>0</v>
      </c>
      <c r="E330" s="22">
        <v>1.28</v>
      </c>
      <c r="F330" s="179">
        <f>SUM(Pienkojeet!Q34)</f>
        <v>0</v>
      </c>
      <c r="G330" s="582">
        <f>SUM(E330*F330)</f>
        <v>0</v>
      </c>
      <c r="H330" s="57">
        <v>-200</v>
      </c>
      <c r="I330" s="22">
        <v>1.9</v>
      </c>
      <c r="J330" s="179">
        <f>SUM(Pienkojeet!Q47)</f>
        <v>0</v>
      </c>
      <c r="K330" s="587">
        <f>SUM(J330*1.9)</f>
        <v>0</v>
      </c>
      <c r="L330" s="581">
        <v>-3000</v>
      </c>
      <c r="M330" s="22">
        <v>2.08</v>
      </c>
      <c r="N330" s="179">
        <f>SUM(Pienkojeet!Q63)</f>
        <v>0</v>
      </c>
      <c r="O330" s="97">
        <f t="shared" si="18"/>
        <v>0</v>
      </c>
      <c r="P330" s="22">
        <v>2.25</v>
      </c>
      <c r="Q330" s="179">
        <f>SUM(Pienkojeet!O79)</f>
        <v>0</v>
      </c>
      <c r="R330" s="582">
        <f t="shared" si="19"/>
        <v>0</v>
      </c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</row>
    <row r="331" spans="1:52" ht="12.5" x14ac:dyDescent="0.25">
      <c r="A331" s="581">
        <v>-35</v>
      </c>
      <c r="B331" s="22">
        <v>1.1599999999999999</v>
      </c>
      <c r="C331" s="179">
        <f>SUM(Pienkojeet!Q23)</f>
        <v>0</v>
      </c>
      <c r="D331" s="97">
        <f t="shared" ref="D331:D335" si="20">SUM(B331*C331)</f>
        <v>0</v>
      </c>
      <c r="E331" s="22">
        <v>1.39</v>
      </c>
      <c r="F331" s="179">
        <f>SUM(Pienkojeet!Q35)</f>
        <v>0</v>
      </c>
      <c r="G331" s="582">
        <f t="shared" ref="G331:G335" si="21">SUM(E331*F331)</f>
        <v>0</v>
      </c>
      <c r="H331" s="57">
        <v>-2500</v>
      </c>
      <c r="I331" s="22">
        <v>2.2000000000000002</v>
      </c>
      <c r="J331" s="179">
        <f>SUM(Pienkojeet!Q48)</f>
        <v>0</v>
      </c>
      <c r="K331" s="587">
        <f>SUM(J331*2.2)</f>
        <v>0</v>
      </c>
      <c r="L331" s="581">
        <v>-3500</v>
      </c>
      <c r="M331" s="22">
        <v>2.3199999999999998</v>
      </c>
      <c r="N331" s="179">
        <f>SUM(Pienkojeet!Q64)</f>
        <v>0</v>
      </c>
      <c r="O331" s="97">
        <f t="shared" si="18"/>
        <v>0</v>
      </c>
      <c r="P331" s="22">
        <v>2.52</v>
      </c>
      <c r="Q331" s="179">
        <f>SUM(Pienkojeet!O80)</f>
        <v>0</v>
      </c>
      <c r="R331" s="582">
        <f t="shared" si="19"/>
        <v>0</v>
      </c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</row>
    <row r="332" spans="1:52" ht="12.5" x14ac:dyDescent="0.25">
      <c r="A332" s="581">
        <v>-60</v>
      </c>
      <c r="B332" s="22">
        <v>1.74</v>
      </c>
      <c r="C332" s="179">
        <f>SUM(Pienkojeet!Q24)</f>
        <v>0</v>
      </c>
      <c r="D332" s="97">
        <f t="shared" si="20"/>
        <v>0</v>
      </c>
      <c r="E332" s="22">
        <v>1.97</v>
      </c>
      <c r="F332" s="179">
        <f>SUM(Pienkojeet!Q36)</f>
        <v>0</v>
      </c>
      <c r="G332" s="582">
        <f t="shared" si="21"/>
        <v>0</v>
      </c>
      <c r="H332" s="57">
        <v>-3000</v>
      </c>
      <c r="I332" s="22">
        <v>2.5</v>
      </c>
      <c r="J332" s="179">
        <f>SUM(Pienkojeet!Q49)</f>
        <v>0</v>
      </c>
      <c r="K332" s="587">
        <f>SUM(J332*2.5)</f>
        <v>0</v>
      </c>
      <c r="L332" s="581">
        <v>-4000</v>
      </c>
      <c r="M332" s="22">
        <v>2.65</v>
      </c>
      <c r="N332" s="179">
        <f>SUM(Pienkojeet!Q65)</f>
        <v>0</v>
      </c>
      <c r="O332" s="97">
        <f t="shared" si="18"/>
        <v>0</v>
      </c>
      <c r="P332" s="22">
        <v>2.88</v>
      </c>
      <c r="Q332" s="179">
        <f>SUM(Pienkojeet!O81)</f>
        <v>0</v>
      </c>
      <c r="R332" s="582">
        <f t="shared" si="19"/>
        <v>0</v>
      </c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</row>
    <row r="333" spans="1:52" ht="13.5" customHeight="1" x14ac:dyDescent="0.25">
      <c r="A333" s="581">
        <v>-100</v>
      </c>
      <c r="B333" s="22">
        <v>2.3199999999999998</v>
      </c>
      <c r="C333" s="179">
        <f>SUM(Pienkojeet!Q25)</f>
        <v>0</v>
      </c>
      <c r="D333" s="97">
        <f t="shared" si="20"/>
        <v>0</v>
      </c>
      <c r="E333" s="22">
        <v>2.5499999999999998</v>
      </c>
      <c r="F333" s="179">
        <f>SUM(Pienkojeet!Q37)</f>
        <v>0</v>
      </c>
      <c r="G333" s="582">
        <f t="shared" si="21"/>
        <v>0</v>
      </c>
      <c r="H333" s="57">
        <v>-3500</v>
      </c>
      <c r="I333" s="22">
        <v>2.8</v>
      </c>
      <c r="J333" s="179">
        <f>SUM(Pienkojeet!Q50)</f>
        <v>0</v>
      </c>
      <c r="K333" s="587">
        <f>SUM(J333*2.8)</f>
        <v>0</v>
      </c>
      <c r="L333" s="581">
        <v>-4500</v>
      </c>
      <c r="M333" s="22">
        <v>2.99</v>
      </c>
      <c r="N333" s="179">
        <f>SUM(Pienkojeet!Q66)</f>
        <v>0</v>
      </c>
      <c r="O333" s="97">
        <f t="shared" si="18"/>
        <v>0</v>
      </c>
      <c r="P333" s="22">
        <v>3.24</v>
      </c>
      <c r="Q333" s="179">
        <f>SUM(Pienkojeet!O82)</f>
        <v>0</v>
      </c>
      <c r="R333" s="582">
        <f t="shared" si="19"/>
        <v>0</v>
      </c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</row>
    <row r="334" spans="1:52" ht="12.5" x14ac:dyDescent="0.25">
      <c r="A334" s="581">
        <v>-150</v>
      </c>
      <c r="B334" s="22">
        <v>2.9</v>
      </c>
      <c r="C334" s="179">
        <f>SUM(Pienkojeet!Q26)</f>
        <v>0</v>
      </c>
      <c r="D334" s="97">
        <f t="shared" si="20"/>
        <v>0</v>
      </c>
      <c r="E334" s="22">
        <v>3.13</v>
      </c>
      <c r="F334" s="179">
        <f>SUM(Pienkojeet!Q38)</f>
        <v>0</v>
      </c>
      <c r="G334" s="582">
        <f t="shared" si="21"/>
        <v>0</v>
      </c>
      <c r="H334" s="57">
        <v>-4000</v>
      </c>
      <c r="I334" s="22">
        <v>3.2</v>
      </c>
      <c r="J334" s="179">
        <f>SUM(Pienkojeet!Q51)</f>
        <v>0</v>
      </c>
      <c r="K334" s="587">
        <f>SUM(J334*3.2)</f>
        <v>0</v>
      </c>
      <c r="L334" s="664">
        <v>-5000</v>
      </c>
      <c r="M334" s="665">
        <v>3.23</v>
      </c>
      <c r="N334" s="389">
        <f>SUM(Pienkojeet!Q67)</f>
        <v>0</v>
      </c>
      <c r="O334" s="666">
        <f t="shared" si="18"/>
        <v>0</v>
      </c>
      <c r="P334" s="665">
        <v>3.5</v>
      </c>
      <c r="Q334" s="389">
        <f>SUM(Pienkojeet!O83)</f>
        <v>0</v>
      </c>
      <c r="R334" s="667">
        <f t="shared" si="19"/>
        <v>0</v>
      </c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</row>
    <row r="335" spans="1:52" ht="13" thickBot="1" x14ac:dyDescent="0.3">
      <c r="A335" s="583">
        <v>-200</v>
      </c>
      <c r="B335" s="584">
        <v>3.48</v>
      </c>
      <c r="C335" s="585">
        <f>SUM(Pienkojeet!Q27)</f>
        <v>0</v>
      </c>
      <c r="D335" s="589">
        <f t="shared" si="20"/>
        <v>0</v>
      </c>
      <c r="E335" s="584">
        <v>3.71</v>
      </c>
      <c r="F335" s="585">
        <f>SUM(Pienkojeet!Q39)</f>
        <v>0</v>
      </c>
      <c r="G335" s="586">
        <f t="shared" si="21"/>
        <v>0</v>
      </c>
      <c r="H335" s="57">
        <v>-4500</v>
      </c>
      <c r="I335" s="22">
        <v>3.6</v>
      </c>
      <c r="J335" s="179">
        <f>SUM(Pienkojeet!Q52)</f>
        <v>0</v>
      </c>
      <c r="K335" s="587">
        <f>SUM(J335*3.6)</f>
        <v>0</v>
      </c>
      <c r="L335" s="581">
        <v>-5500</v>
      </c>
      <c r="M335" s="13">
        <v>3.48</v>
      </c>
      <c r="N335" s="182">
        <f>SUM(Pienkojeet!Q68)</f>
        <v>0</v>
      </c>
      <c r="O335" s="666">
        <f t="shared" si="18"/>
        <v>0</v>
      </c>
      <c r="P335" s="13">
        <v>3.77</v>
      </c>
      <c r="Q335" s="182">
        <f>SUM(Pienkojeet!Q84)</f>
        <v>0</v>
      </c>
      <c r="R335" s="667">
        <f t="shared" si="19"/>
        <v>0</v>
      </c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</row>
    <row r="336" spans="1:52" ht="13" thickBot="1" x14ac:dyDescent="0.3">
      <c r="A336" s="15"/>
      <c r="B336" s="34"/>
      <c r="G336" s="172"/>
      <c r="H336" s="583">
        <v>-5000</v>
      </c>
      <c r="I336" s="584">
        <v>3.9</v>
      </c>
      <c r="J336" s="585">
        <f>SUM(Pienkojeet!Q53)</f>
        <v>0</v>
      </c>
      <c r="K336" s="588">
        <f>SUM(J336*3.9)</f>
        <v>0</v>
      </c>
      <c r="L336" s="583">
        <v>-6000</v>
      </c>
      <c r="M336" s="668">
        <v>3.72</v>
      </c>
      <c r="N336" s="669">
        <f>SUM(Pienkojeet!Q69)</f>
        <v>0</v>
      </c>
      <c r="O336" s="589">
        <f t="shared" si="18"/>
        <v>0</v>
      </c>
      <c r="P336" s="584">
        <v>4.04</v>
      </c>
      <c r="Q336" s="669">
        <f>SUM(Pienkojeet!Q85)</f>
        <v>0</v>
      </c>
      <c r="R336" s="586">
        <f t="shared" si="19"/>
        <v>0</v>
      </c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</row>
    <row r="337" spans="1:52" ht="13.5" customHeight="1" thickBot="1" x14ac:dyDescent="0.3">
      <c r="A337" s="645"/>
      <c r="B337" s="646"/>
      <c r="C337" s="647" t="s">
        <v>0</v>
      </c>
      <c r="D337" s="673">
        <f>SUM(D330:D335)</f>
        <v>0</v>
      </c>
      <c r="E337" s="648"/>
      <c r="F337" s="649" t="s">
        <v>0</v>
      </c>
      <c r="G337" s="674">
        <f>SUM(G330:G335)</f>
        <v>0</v>
      </c>
      <c r="H337" s="648"/>
      <c r="I337" s="650"/>
      <c r="J337" s="647" t="s">
        <v>0</v>
      </c>
      <c r="K337" s="674">
        <f>SUM(K329:K336)</f>
        <v>0</v>
      </c>
      <c r="L337" s="648"/>
      <c r="M337" s="650"/>
      <c r="N337" s="647" t="s">
        <v>0</v>
      </c>
      <c r="O337" s="674">
        <f>SUM(O327:O336)</f>
        <v>0</v>
      </c>
      <c r="P337" s="650"/>
      <c r="Q337" s="647" t="s">
        <v>0</v>
      </c>
      <c r="R337" s="674">
        <f>SUM(R327:R336)</f>
        <v>0</v>
      </c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</row>
    <row r="338" spans="1:52" ht="5.25" customHeight="1" x14ac:dyDescent="0.25">
      <c r="B338" s="5"/>
      <c r="C338" s="5"/>
      <c r="D338" s="5"/>
      <c r="E338" s="5"/>
      <c r="F338" s="80"/>
      <c r="G338" s="80"/>
      <c r="H338" s="80"/>
      <c r="I338" s="80"/>
      <c r="J338" s="80"/>
      <c r="K338" s="80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</row>
    <row r="339" spans="1:52" ht="12.75" customHeight="1" x14ac:dyDescent="0.65">
      <c r="C339" s="5"/>
      <c r="D339" s="5"/>
      <c r="E339" s="5"/>
      <c r="H339" s="590" t="s">
        <v>412</v>
      </c>
      <c r="I339" s="80"/>
      <c r="J339" s="80"/>
      <c r="K339" s="80"/>
      <c r="P339" s="646"/>
      <c r="Q339" s="646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</row>
    <row r="340" spans="1:52" ht="12.75" customHeight="1" thickBot="1" x14ac:dyDescent="0.7">
      <c r="C340" s="46"/>
      <c r="D340" s="5"/>
      <c r="E340" s="46"/>
      <c r="H340" s="731" t="s">
        <v>495</v>
      </c>
      <c r="I340" s="731"/>
      <c r="J340" s="731"/>
      <c r="K340" s="731"/>
      <c r="L340" s="731"/>
      <c r="M340" s="731"/>
      <c r="N340" s="731"/>
      <c r="P340" s="654" t="s">
        <v>217</v>
      </c>
      <c r="Q340" s="655" t="s">
        <v>0</v>
      </c>
      <c r="R340" s="670">
        <f>SUM(J318+D337+G337+K337+Q312+Q318+O337+R337)</f>
        <v>0</v>
      </c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</row>
    <row r="341" spans="1:52" ht="12.75" customHeight="1" x14ac:dyDescent="0.65">
      <c r="C341" s="46"/>
      <c r="D341" s="5"/>
      <c r="E341" s="46"/>
      <c r="H341" s="731"/>
      <c r="I341" s="731"/>
      <c r="J341" s="731"/>
      <c r="K341" s="731"/>
      <c r="L341" s="731"/>
      <c r="M341" s="731"/>
      <c r="N341" s="731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</row>
    <row r="342" spans="1:52" ht="21" customHeight="1" x14ac:dyDescent="0.25">
      <c r="C342" s="46"/>
      <c r="D342" s="5"/>
      <c r="E342" s="46"/>
      <c r="F342" s="80"/>
      <c r="G342" s="80"/>
      <c r="H342" s="80"/>
      <c r="I342" s="80"/>
      <c r="J342" s="80"/>
      <c r="K342" s="80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</row>
    <row r="343" spans="1:52" ht="0.75" customHeight="1" x14ac:dyDescent="0.25">
      <c r="C343" s="46"/>
      <c r="D343" s="5"/>
      <c r="E343" s="46"/>
      <c r="F343" s="5"/>
      <c r="G343" s="80"/>
      <c r="H343" s="80"/>
      <c r="I343" s="80"/>
      <c r="J343" s="80"/>
      <c r="K343" s="80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</row>
    <row r="344" spans="1:52" ht="19.5" customHeight="1" x14ac:dyDescent="0.35">
      <c r="B344" s="35" t="s">
        <v>518</v>
      </c>
      <c r="C344" s="5"/>
      <c r="D344" s="5"/>
      <c r="E344" s="5"/>
      <c r="F344" s="5"/>
      <c r="G344" s="5"/>
      <c r="J344" s="36"/>
      <c r="T344" s="109"/>
      <c r="U344" s="158"/>
      <c r="V344" s="215"/>
      <c r="W344" s="109"/>
      <c r="X344" s="215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</row>
    <row r="345" spans="1:52" ht="12.5" x14ac:dyDescent="0.25">
      <c r="B345" s="5"/>
      <c r="C345" s="5"/>
      <c r="D345" s="5"/>
      <c r="E345" s="5"/>
      <c r="F345" s="5"/>
      <c r="G345" s="5"/>
      <c r="J345" s="326" t="s">
        <v>234</v>
      </c>
      <c r="T345" s="109"/>
      <c r="U345" s="158"/>
      <c r="V345" s="215"/>
      <c r="W345" s="109"/>
      <c r="X345" s="215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</row>
    <row r="346" spans="1:52" ht="12.5" x14ac:dyDescent="0.25">
      <c r="A346" s="41"/>
      <c r="B346" s="9" t="s">
        <v>54</v>
      </c>
      <c r="C346" s="719" t="s">
        <v>51</v>
      </c>
      <c r="D346" s="720"/>
      <c r="E346" s="5"/>
      <c r="F346" s="5"/>
      <c r="G346" s="5"/>
      <c r="T346" s="109"/>
      <c r="U346" s="158"/>
      <c r="V346" s="215"/>
      <c r="W346" s="109"/>
      <c r="X346" s="215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</row>
    <row r="347" spans="1:52" ht="12.5" x14ac:dyDescent="0.25">
      <c r="A347" s="41"/>
      <c r="B347" s="57" t="s">
        <v>5</v>
      </c>
      <c r="C347" s="710" t="s">
        <v>15</v>
      </c>
      <c r="D347" s="710"/>
      <c r="E347" s="5"/>
      <c r="F347" s="5"/>
      <c r="G347" s="5"/>
      <c r="T347" s="109"/>
      <c r="U347" s="158"/>
      <c r="V347" s="215"/>
      <c r="W347" s="109"/>
      <c r="X347" s="215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</row>
    <row r="348" spans="1:52" ht="12.5" x14ac:dyDescent="0.25">
      <c r="A348" s="41"/>
      <c r="B348" s="57" t="s">
        <v>6</v>
      </c>
      <c r="C348" s="710" t="s">
        <v>16</v>
      </c>
      <c r="D348" s="710"/>
      <c r="E348" s="5"/>
      <c r="F348" s="5"/>
      <c r="G348" s="5"/>
      <c r="T348" s="109"/>
      <c r="U348" s="158"/>
      <c r="V348" s="215"/>
      <c r="W348" s="109"/>
      <c r="X348" s="215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</row>
    <row r="349" spans="1:52" ht="12.5" x14ac:dyDescent="0.25">
      <c r="A349" s="41"/>
      <c r="B349" s="57" t="s">
        <v>7</v>
      </c>
      <c r="C349" s="710" t="s">
        <v>17</v>
      </c>
      <c r="D349" s="710"/>
      <c r="E349" s="5"/>
      <c r="F349" s="5"/>
      <c r="G349" s="5"/>
      <c r="T349" s="109"/>
      <c r="U349" s="158"/>
      <c r="V349" s="215"/>
      <c r="W349" s="109"/>
      <c r="X349" s="215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</row>
    <row r="350" spans="1:52" ht="12.5" x14ac:dyDescent="0.25">
      <c r="A350" s="41"/>
      <c r="B350" s="57" t="s">
        <v>8</v>
      </c>
      <c r="C350" s="710" t="s">
        <v>18</v>
      </c>
      <c r="D350" s="710"/>
      <c r="E350" s="5"/>
      <c r="F350" s="5"/>
      <c r="G350" s="5"/>
      <c r="T350" s="109"/>
      <c r="U350" s="158"/>
      <c r="V350" s="215"/>
      <c r="W350" s="109"/>
      <c r="X350" s="215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</row>
    <row r="351" spans="1:52" ht="12.5" x14ac:dyDescent="0.25">
      <c r="A351" s="41"/>
      <c r="B351" s="57" t="s">
        <v>9</v>
      </c>
      <c r="C351" s="710" t="s">
        <v>19</v>
      </c>
      <c r="D351" s="710"/>
      <c r="E351" s="5"/>
      <c r="F351" s="5"/>
      <c r="G351" s="5"/>
      <c r="T351" s="109"/>
      <c r="U351" s="158"/>
      <c r="V351" s="215"/>
      <c r="W351" s="109"/>
      <c r="X351" s="215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</row>
    <row r="352" spans="1:52" ht="12.5" x14ac:dyDescent="0.25">
      <c r="B352" s="5"/>
      <c r="C352" s="5"/>
      <c r="D352" s="5"/>
      <c r="E352" s="5"/>
      <c r="F352" s="5"/>
      <c r="G352" s="5"/>
      <c r="T352" s="109"/>
      <c r="U352" s="158"/>
      <c r="V352" s="215"/>
      <c r="W352" s="109"/>
      <c r="X352" s="215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</row>
    <row r="353" spans="1:52" ht="12.5" x14ac:dyDescent="0.25">
      <c r="A353" s="41"/>
      <c r="B353" s="11" t="s">
        <v>54</v>
      </c>
      <c r="C353" s="6"/>
      <c r="D353" s="152" t="s">
        <v>15</v>
      </c>
      <c r="E353" s="321"/>
      <c r="F353" s="322" t="s">
        <v>67</v>
      </c>
      <c r="G353" s="152" t="s">
        <v>16</v>
      </c>
      <c r="H353" s="321"/>
      <c r="I353" s="322"/>
      <c r="J353" s="152" t="s">
        <v>17</v>
      </c>
      <c r="K353" s="321"/>
      <c r="L353" s="322" t="s">
        <v>67</v>
      </c>
      <c r="M353" s="152" t="s">
        <v>333</v>
      </c>
      <c r="N353" s="321"/>
      <c r="O353" s="322" t="s">
        <v>67</v>
      </c>
      <c r="P353" s="152" t="s">
        <v>19</v>
      </c>
      <c r="Q353" s="7"/>
      <c r="T353" s="109"/>
      <c r="U353" s="158"/>
      <c r="V353" s="215"/>
      <c r="W353" s="109"/>
      <c r="X353" s="215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</row>
    <row r="354" spans="1:52" ht="12.5" x14ac:dyDescent="0.25">
      <c r="A354" s="41"/>
      <c r="B354" s="12" t="s">
        <v>61</v>
      </c>
      <c r="C354" s="48" t="s">
        <v>0</v>
      </c>
      <c r="D354" s="16" t="s">
        <v>158</v>
      </c>
      <c r="E354" s="58" t="s">
        <v>0</v>
      </c>
      <c r="F354" s="48" t="s">
        <v>0</v>
      </c>
      <c r="G354" s="16" t="s">
        <v>158</v>
      </c>
      <c r="H354" s="58" t="s">
        <v>0</v>
      </c>
      <c r="I354" s="48" t="s">
        <v>0</v>
      </c>
      <c r="J354" s="16" t="s">
        <v>158</v>
      </c>
      <c r="K354" s="58" t="s">
        <v>0</v>
      </c>
      <c r="L354" s="48" t="s">
        <v>0</v>
      </c>
      <c r="M354" s="16" t="s">
        <v>158</v>
      </c>
      <c r="N354" s="58" t="s">
        <v>0</v>
      </c>
      <c r="O354" s="48" t="s">
        <v>0</v>
      </c>
      <c r="P354" s="16" t="s">
        <v>158</v>
      </c>
      <c r="Q354" s="58" t="s">
        <v>0</v>
      </c>
      <c r="T354" s="109"/>
      <c r="U354" s="158"/>
      <c r="V354" s="215"/>
      <c r="W354" s="109"/>
      <c r="X354" s="215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</row>
    <row r="355" spans="1:52" ht="12.5" x14ac:dyDescent="0.25">
      <c r="A355" s="41"/>
      <c r="B355" s="55" t="s">
        <v>5</v>
      </c>
      <c r="C355" s="22">
        <v>0.17</v>
      </c>
      <c r="D355" s="179">
        <f>SUM(Aksiaalipuhaltimet!Q9)</f>
        <v>0</v>
      </c>
      <c r="E355" s="97">
        <f>SUM(D355*0.17)</f>
        <v>0</v>
      </c>
      <c r="F355" s="22">
        <v>0.28999999999999998</v>
      </c>
      <c r="G355" s="179">
        <f>SUM(Aksiaalipuhaltimet!Q10)</f>
        <v>0</v>
      </c>
      <c r="H355" s="97">
        <f>SUM(G355*0.29)</f>
        <v>0</v>
      </c>
      <c r="I355" s="22">
        <v>0.37</v>
      </c>
      <c r="J355" s="179">
        <f>SUM(Aksiaalipuhaltimet!Q11)</f>
        <v>0</v>
      </c>
      <c r="K355" s="97">
        <f>SUM(J355*0.37)</f>
        <v>0</v>
      </c>
      <c r="L355" s="22">
        <v>0.46</v>
      </c>
      <c r="M355" s="179">
        <f>SUM(Aksiaalipuhaltimet!Q12)</f>
        <v>0</v>
      </c>
      <c r="N355" s="97">
        <f>SUM(M355*0.46)</f>
        <v>0</v>
      </c>
      <c r="O355" s="22">
        <v>0.56999999999999995</v>
      </c>
      <c r="P355" s="179">
        <f>SUM(Aksiaalipuhaltimet!Q13)</f>
        <v>0</v>
      </c>
      <c r="Q355" s="97">
        <f>SUM(P355*0.57)</f>
        <v>0</v>
      </c>
      <c r="T355" s="109"/>
      <c r="U355" s="158"/>
      <c r="V355" s="215"/>
      <c r="W355" s="109"/>
      <c r="X355" s="215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</row>
    <row r="356" spans="1:52" ht="12.5" x14ac:dyDescent="0.25">
      <c r="A356" s="41"/>
      <c r="B356" s="55" t="s">
        <v>6</v>
      </c>
      <c r="C356" s="22">
        <v>0.17</v>
      </c>
      <c r="D356" s="179">
        <f>SUM(Aksiaalipuhaltimet!Q20)</f>
        <v>0</v>
      </c>
      <c r="E356" s="97">
        <f>SUM(D356*0.17)</f>
        <v>0</v>
      </c>
      <c r="F356" s="22">
        <v>0.28999999999999998</v>
      </c>
      <c r="G356" s="179">
        <f>SUM(Aksiaalipuhaltimet!Q21)</f>
        <v>0</v>
      </c>
      <c r="H356" s="97">
        <f>SUM(G356*0.29)</f>
        <v>0</v>
      </c>
      <c r="I356" s="22">
        <v>0.37</v>
      </c>
      <c r="J356" s="179">
        <f>SUM(Aksiaalipuhaltimet!Q22)</f>
        <v>0</v>
      </c>
      <c r="K356" s="97">
        <f>SUM(J356*0.37)</f>
        <v>0</v>
      </c>
      <c r="L356" s="22">
        <v>0.46</v>
      </c>
      <c r="M356" s="179">
        <f>SUM(Aksiaalipuhaltimet!Q23)</f>
        <v>0</v>
      </c>
      <c r="N356" s="97">
        <f>SUM(M356*0.46)</f>
        <v>0</v>
      </c>
      <c r="O356" s="22">
        <v>0.56999999999999995</v>
      </c>
      <c r="P356" s="179">
        <f>SUM(Aksiaalipuhaltimet!Q24)</f>
        <v>0</v>
      </c>
      <c r="Q356" s="97">
        <f>SUM(P356*0.57)</f>
        <v>0</v>
      </c>
      <c r="T356" s="109"/>
      <c r="U356" s="158"/>
      <c r="V356" s="215"/>
      <c r="W356" s="109"/>
      <c r="X356" s="215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</row>
    <row r="357" spans="1:52" ht="12.5" x14ac:dyDescent="0.25">
      <c r="A357" s="41"/>
      <c r="B357" s="55" t="s">
        <v>7</v>
      </c>
      <c r="C357" s="22">
        <v>0.28999999999999998</v>
      </c>
      <c r="D357" s="179">
        <f>SUM(Aksiaalipuhaltimet!Q31)</f>
        <v>0</v>
      </c>
      <c r="E357" s="97">
        <f>SUM(D357*0.29)</f>
        <v>0</v>
      </c>
      <c r="F357" s="22">
        <v>0.37</v>
      </c>
      <c r="G357" s="179">
        <f>SUM(Aksiaalipuhaltimet!Q32)</f>
        <v>0</v>
      </c>
      <c r="H357" s="97">
        <f>SUM(G357*0.37)</f>
        <v>0</v>
      </c>
      <c r="I357" s="22">
        <v>0.46</v>
      </c>
      <c r="J357" s="179">
        <f>SUM(Aksiaalipuhaltimet!Q33)</f>
        <v>0</v>
      </c>
      <c r="K357" s="97">
        <f>SUM(J357*0.46)</f>
        <v>0</v>
      </c>
      <c r="L357" s="22">
        <v>0.56999999999999995</v>
      </c>
      <c r="M357" s="179">
        <f>SUM(Aksiaalipuhaltimet!Q34)</f>
        <v>0</v>
      </c>
      <c r="N357" s="97">
        <f>SUM(M357*0.57)</f>
        <v>0</v>
      </c>
      <c r="O357" s="22">
        <v>0.66</v>
      </c>
      <c r="P357" s="179">
        <f>SUM(Aksiaalipuhaltimet!Q35)</f>
        <v>0</v>
      </c>
      <c r="Q357" s="97">
        <f>SUM(P357*0.66)</f>
        <v>0</v>
      </c>
      <c r="T357" s="109"/>
      <c r="U357" s="158"/>
      <c r="V357" s="215"/>
      <c r="W357" s="109"/>
      <c r="X357" s="215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</row>
    <row r="358" spans="1:52" ht="12.5" x14ac:dyDescent="0.25">
      <c r="A358" s="41"/>
      <c r="B358" s="55" t="s">
        <v>8</v>
      </c>
      <c r="C358" s="22">
        <v>0.37</v>
      </c>
      <c r="D358" s="179">
        <f>SUM(Aksiaalipuhaltimet!Q44)</f>
        <v>0</v>
      </c>
      <c r="E358" s="97">
        <f>SUM(D358*0.37)</f>
        <v>0</v>
      </c>
      <c r="F358" s="22">
        <v>0.56999999999999995</v>
      </c>
      <c r="G358" s="179">
        <f>SUM(Aksiaalipuhaltimet!Q45)</f>
        <v>0</v>
      </c>
      <c r="H358" s="97">
        <f>SUM(G358*0.57)</f>
        <v>0</v>
      </c>
      <c r="I358" s="22">
        <v>0.74</v>
      </c>
      <c r="J358" s="179">
        <f>SUM(Aksiaalipuhaltimet!Q46)</f>
        <v>0</v>
      </c>
      <c r="K358" s="97">
        <f>SUM(J358*0.74)</f>
        <v>0</v>
      </c>
      <c r="L358" s="22">
        <v>0.94</v>
      </c>
      <c r="M358" s="179">
        <f>SUM(Aksiaalipuhaltimet!Q47)</f>
        <v>0</v>
      </c>
      <c r="N358" s="97">
        <f>SUM(M358*0.94)</f>
        <v>0</v>
      </c>
      <c r="O358" s="22">
        <v>1.1100000000000001</v>
      </c>
      <c r="P358" s="179">
        <f>SUM(Aksiaalipuhaltimet!Q48)</f>
        <v>0</v>
      </c>
      <c r="Q358" s="97">
        <f>SUM(P358*1.11)</f>
        <v>0</v>
      </c>
      <c r="T358" s="109"/>
      <c r="U358" s="158"/>
      <c r="V358" s="215"/>
      <c r="W358" s="109"/>
      <c r="X358" s="215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</row>
    <row r="359" spans="1:52" ht="12.5" x14ac:dyDescent="0.25">
      <c r="A359" s="41"/>
      <c r="B359" s="55" t="s">
        <v>9</v>
      </c>
      <c r="C359" s="22">
        <v>0.37</v>
      </c>
      <c r="D359" s="179">
        <f>SUM(Aksiaalipuhaltimet!Q56)</f>
        <v>0</v>
      </c>
      <c r="E359" s="97">
        <f>SUM(D359*0.37)</f>
        <v>0</v>
      </c>
      <c r="F359" s="22">
        <v>0.56999999999999995</v>
      </c>
      <c r="G359" s="179">
        <f>SUM(Aksiaalipuhaltimet!Q57)</f>
        <v>0</v>
      </c>
      <c r="H359" s="97">
        <f>SUM(G359*0.57)</f>
        <v>0</v>
      </c>
      <c r="I359" s="22">
        <v>0.74</v>
      </c>
      <c r="J359" s="179">
        <f>SUM(Aksiaalipuhaltimet!Q58)</f>
        <v>0</v>
      </c>
      <c r="K359" s="97">
        <f>SUM(J359*0.74)</f>
        <v>0</v>
      </c>
      <c r="L359" s="22">
        <v>0.94</v>
      </c>
      <c r="M359" s="179">
        <f>SUM(Aksiaalipuhaltimet!Q59)</f>
        <v>0</v>
      </c>
      <c r="N359" s="97">
        <f>SUM(M359*0.94)</f>
        <v>0</v>
      </c>
      <c r="O359" s="22">
        <v>1.1100000000000001</v>
      </c>
      <c r="P359" s="179">
        <f>SUM(Aksiaalipuhaltimet!Q60)</f>
        <v>0</v>
      </c>
      <c r="Q359" s="97">
        <f>SUM(P359*1.11)</f>
        <v>0</v>
      </c>
      <c r="T359" s="109"/>
      <c r="U359" s="158"/>
      <c r="V359" s="215"/>
      <c r="W359" s="109"/>
      <c r="X359" s="215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</row>
    <row r="360" spans="1:52" ht="12.5" x14ac:dyDescent="0.25">
      <c r="A360" s="41"/>
      <c r="B360" s="55" t="s">
        <v>56</v>
      </c>
      <c r="C360" s="22">
        <v>0.56999999999999995</v>
      </c>
      <c r="D360" s="179">
        <f>SUM(Aksiaalipuhaltimet!Q68)</f>
        <v>0</v>
      </c>
      <c r="E360" s="97">
        <f>SUM(D360*0.57)</f>
        <v>0</v>
      </c>
      <c r="F360" s="22">
        <v>0.74</v>
      </c>
      <c r="G360" s="179">
        <f>SUM(Aksiaalipuhaltimet!Q69)</f>
        <v>0</v>
      </c>
      <c r="H360" s="97">
        <f>SUM(G360*0.74)</f>
        <v>0</v>
      </c>
      <c r="I360" s="22">
        <v>0.94</v>
      </c>
      <c r="J360" s="179">
        <f>SUM(Aksiaalipuhaltimet!Q70)</f>
        <v>0</v>
      </c>
      <c r="K360" s="97">
        <f>SUM(J360*0.94)</f>
        <v>0</v>
      </c>
      <c r="L360" s="22">
        <v>1.1100000000000001</v>
      </c>
      <c r="M360" s="179">
        <f>SUM(Aksiaalipuhaltimet!Q71)</f>
        <v>0</v>
      </c>
      <c r="N360" s="97">
        <f>SUM(M360*1.11)</f>
        <v>0</v>
      </c>
      <c r="O360" s="22">
        <v>1.31</v>
      </c>
      <c r="P360" s="179">
        <f>SUM(Aksiaalipuhaltimet!Q72)</f>
        <v>0</v>
      </c>
      <c r="Q360" s="97">
        <f>SUM(P360*1.31)</f>
        <v>0</v>
      </c>
      <c r="T360" s="109"/>
      <c r="U360" s="158"/>
      <c r="V360" s="215"/>
      <c r="W360" s="109"/>
      <c r="X360" s="215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</row>
    <row r="361" spans="1:52" ht="12.5" x14ac:dyDescent="0.25">
      <c r="A361" s="41"/>
      <c r="B361" s="55" t="s">
        <v>57</v>
      </c>
      <c r="C361" s="22">
        <v>0.56999999999999995</v>
      </c>
      <c r="D361" s="179">
        <f>SUM(Aksiaalipuhaltimet!Q82)</f>
        <v>0</v>
      </c>
      <c r="E361" s="97">
        <f>SUM(D361*0.57)</f>
        <v>0</v>
      </c>
      <c r="F361" s="22">
        <v>0.74</v>
      </c>
      <c r="G361" s="179">
        <f>SUM(Aksiaalipuhaltimet!Q83)</f>
        <v>0</v>
      </c>
      <c r="H361" s="97">
        <f>SUM(G361*0.74)</f>
        <v>0</v>
      </c>
      <c r="I361" s="22">
        <v>0.94</v>
      </c>
      <c r="J361" s="179">
        <f>SUM(Aksiaalipuhaltimet!Q84)</f>
        <v>0</v>
      </c>
      <c r="K361" s="97">
        <f>SUM(J361*0.94)</f>
        <v>0</v>
      </c>
      <c r="L361" s="22">
        <v>1.1100000000000001</v>
      </c>
      <c r="M361" s="179">
        <f>SUM(Aksiaalipuhaltimet!Q85)</f>
        <v>0</v>
      </c>
      <c r="N361" s="97">
        <f>SUM(M361*1.11)</f>
        <v>0</v>
      </c>
      <c r="O361" s="22">
        <v>1.31</v>
      </c>
      <c r="P361" s="179">
        <f>SUM(Aksiaalipuhaltimet!Q86)</f>
        <v>0</v>
      </c>
      <c r="Q361" s="97">
        <f>SUM(P361*1.31)</f>
        <v>0</v>
      </c>
      <c r="T361" s="109"/>
      <c r="U361" s="158"/>
      <c r="V361" s="215"/>
      <c r="W361" s="109"/>
      <c r="X361" s="215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</row>
    <row r="362" spans="1:52" ht="12.5" x14ac:dyDescent="0.25">
      <c r="A362" s="41"/>
      <c r="B362" s="55" t="s">
        <v>58</v>
      </c>
      <c r="C362" s="22">
        <v>0.74</v>
      </c>
      <c r="D362" s="179">
        <f>SUM(Aksiaalipuhaltimet!Q94)</f>
        <v>0</v>
      </c>
      <c r="E362" s="97">
        <f>SUM(D362*0.74)</f>
        <v>0</v>
      </c>
      <c r="F362" s="22">
        <v>0.94</v>
      </c>
      <c r="G362" s="179">
        <f>SUM(Aksiaalipuhaltimet!Q95)</f>
        <v>0</v>
      </c>
      <c r="H362" s="97">
        <f>SUM(G362*0.94)</f>
        <v>0</v>
      </c>
      <c r="I362" s="22">
        <v>1.1100000000000001</v>
      </c>
      <c r="J362" s="179">
        <f>SUM(Aksiaalipuhaltimet!Q96)</f>
        <v>0</v>
      </c>
      <c r="K362" s="97">
        <f>SUM(J362*1.11)</f>
        <v>0</v>
      </c>
      <c r="L362" s="22">
        <v>1.31</v>
      </c>
      <c r="M362" s="179">
        <f>SUM(Aksiaalipuhaltimet!Q97)</f>
        <v>0</v>
      </c>
      <c r="N362" s="97">
        <f>SUM(M362*1.31)</f>
        <v>0</v>
      </c>
      <c r="O362" s="22">
        <v>1.45</v>
      </c>
      <c r="P362" s="179">
        <f>SUM(Aksiaalipuhaltimet!Q98)</f>
        <v>0</v>
      </c>
      <c r="Q362" s="97">
        <f>SUM(P362*1.45)</f>
        <v>0</v>
      </c>
      <c r="T362" s="109"/>
      <c r="U362" s="158"/>
      <c r="V362" s="215"/>
      <c r="W362" s="109"/>
      <c r="X362" s="215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</row>
    <row r="363" spans="1:52" ht="12.5" x14ac:dyDescent="0.25">
      <c r="A363" s="41"/>
      <c r="B363" s="55" t="s">
        <v>59</v>
      </c>
      <c r="C363" s="22">
        <v>0.74</v>
      </c>
      <c r="D363" s="179">
        <f>SUM(Aksiaalipuhaltimet!Q106)</f>
        <v>0</v>
      </c>
      <c r="E363" s="97">
        <f>SUM(D363*0.74)</f>
        <v>0</v>
      </c>
      <c r="F363" s="22">
        <v>0.94</v>
      </c>
      <c r="G363" s="179">
        <f>SUM(Aksiaalipuhaltimet!Q107)</f>
        <v>0</v>
      </c>
      <c r="H363" s="97">
        <f>SUM(G363*0.94)</f>
        <v>0</v>
      </c>
      <c r="I363" s="22">
        <v>1.1100000000000001</v>
      </c>
      <c r="J363" s="179">
        <f>SUM(Aksiaalipuhaltimet!Q108)</f>
        <v>0</v>
      </c>
      <c r="K363" s="97">
        <f>SUM(J363*1.11)</f>
        <v>0</v>
      </c>
      <c r="L363" s="22">
        <v>1.31</v>
      </c>
      <c r="M363" s="179">
        <f>SUM(Aksiaalipuhaltimet!Q109)</f>
        <v>0</v>
      </c>
      <c r="N363" s="97">
        <f>SUM(M363*1.31)</f>
        <v>0</v>
      </c>
      <c r="O363" s="22">
        <v>1.45</v>
      </c>
      <c r="P363" s="179">
        <f>SUM(Aksiaalipuhaltimet!Q110)</f>
        <v>0</v>
      </c>
      <c r="Q363" s="97">
        <f>SUM(P363*1.45)</f>
        <v>0</v>
      </c>
      <c r="T363" s="109"/>
      <c r="U363" s="158"/>
      <c r="V363" s="215"/>
      <c r="W363" s="109"/>
      <c r="X363" s="215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</row>
    <row r="364" spans="1:52" ht="12.5" x14ac:dyDescent="0.25">
      <c r="A364" s="41"/>
      <c r="B364" s="55" t="s">
        <v>60</v>
      </c>
      <c r="C364" s="22">
        <v>1.1100000000000001</v>
      </c>
      <c r="D364" s="179">
        <f>SUM(Aksiaalipuhaltimet!Q121)</f>
        <v>0</v>
      </c>
      <c r="E364" s="97">
        <f>SUM(D364*1.11)</f>
        <v>0</v>
      </c>
      <c r="F364" s="22">
        <v>1.31</v>
      </c>
      <c r="G364" s="179">
        <f>SUM(Aksiaalipuhaltimet!Q122)</f>
        <v>0</v>
      </c>
      <c r="H364" s="97">
        <f>SUM(G364*1.31)</f>
        <v>0</v>
      </c>
      <c r="I364" s="22">
        <v>1.48</v>
      </c>
      <c r="J364" s="179">
        <f>SUM(Aksiaalipuhaltimet!Q123)</f>
        <v>0</v>
      </c>
      <c r="K364" s="97">
        <f>SUM(J364*1.48)</f>
        <v>0</v>
      </c>
      <c r="L364" s="22">
        <v>1.68</v>
      </c>
      <c r="M364" s="179">
        <f>SUM(Aksiaalipuhaltimet!Q124)</f>
        <v>0</v>
      </c>
      <c r="N364" s="97">
        <f>SUM(M364*1.68)</f>
        <v>0</v>
      </c>
      <c r="O364" s="22">
        <v>1.87</v>
      </c>
      <c r="P364" s="179">
        <f>SUM(Aksiaalipuhaltimet!Q125)</f>
        <v>0</v>
      </c>
      <c r="Q364" s="97">
        <f>SUM(P364*1.87)</f>
        <v>0</v>
      </c>
      <c r="T364" s="109"/>
      <c r="U364" s="158"/>
      <c r="V364" s="109"/>
      <c r="W364" s="109"/>
      <c r="X364" s="215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</row>
    <row r="365" spans="1:52" ht="15.75" customHeight="1" thickBot="1" x14ac:dyDescent="0.35">
      <c r="B365" s="83"/>
      <c r="C365" s="83"/>
      <c r="D365" s="171" t="s">
        <v>0</v>
      </c>
      <c r="E365" s="678">
        <f>SUM(E355:E364)</f>
        <v>0</v>
      </c>
      <c r="F365" s="90"/>
      <c r="G365" s="171" t="s">
        <v>0</v>
      </c>
      <c r="H365" s="678">
        <f>SUM(H355:H364)</f>
        <v>0</v>
      </c>
      <c r="I365" s="90"/>
      <c r="J365" s="171" t="s">
        <v>0</v>
      </c>
      <c r="K365" s="678">
        <f>SUM(K355:K364)</f>
        <v>0</v>
      </c>
      <c r="L365" s="90"/>
      <c r="M365" s="171" t="s">
        <v>0</v>
      </c>
      <c r="N365" s="678">
        <f>SUM(N355:N364)</f>
        <v>0</v>
      </c>
      <c r="O365" s="90"/>
      <c r="P365" s="171" t="s">
        <v>0</v>
      </c>
      <c r="Q365" s="678">
        <f>SUM(Q355:Q364)</f>
        <v>0</v>
      </c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</row>
    <row r="366" spans="1:52" ht="13" x14ac:dyDescent="0.3">
      <c r="B366" s="83"/>
      <c r="C366" s="83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</row>
    <row r="367" spans="1:52" ht="13" x14ac:dyDescent="0.3">
      <c r="B367" s="83"/>
      <c r="C367" s="83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</row>
    <row r="368" spans="1:52" ht="12.5" x14ac:dyDescent="0.25">
      <c r="B368" s="15" t="s">
        <v>5</v>
      </c>
      <c r="C368" s="5" t="s">
        <v>20</v>
      </c>
      <c r="D368" s="5"/>
      <c r="E368" s="46"/>
      <c r="F368" s="46"/>
      <c r="G368" s="46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</row>
    <row r="369" spans="1:52" ht="12.5" x14ac:dyDescent="0.25">
      <c r="B369" s="15" t="s">
        <v>6</v>
      </c>
      <c r="C369" s="5" t="s">
        <v>21</v>
      </c>
      <c r="D369" s="5"/>
      <c r="E369" s="46"/>
      <c r="F369" s="46"/>
      <c r="G369" s="46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</row>
    <row r="370" spans="1:52" ht="12.5" x14ac:dyDescent="0.25">
      <c r="B370" s="15" t="s">
        <v>7</v>
      </c>
      <c r="C370" s="5" t="s">
        <v>22</v>
      </c>
      <c r="D370" s="5"/>
      <c r="E370" s="46"/>
      <c r="F370" s="46"/>
      <c r="G370" s="448" t="s">
        <v>27</v>
      </c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</row>
    <row r="371" spans="1:52" ht="12.5" x14ac:dyDescent="0.25">
      <c r="B371" s="15" t="s">
        <v>8</v>
      </c>
      <c r="C371" s="5" t="s">
        <v>23</v>
      </c>
      <c r="D371" s="5"/>
      <c r="E371" s="46"/>
      <c r="F371" s="46"/>
      <c r="G371" s="747" t="s">
        <v>499</v>
      </c>
      <c r="H371" s="715" t="s">
        <v>457</v>
      </c>
      <c r="I371" s="715" t="s">
        <v>158</v>
      </c>
      <c r="J371" s="715" t="s">
        <v>0</v>
      </c>
      <c r="K371" s="749" t="s">
        <v>458</v>
      </c>
      <c r="L371" s="715" t="s">
        <v>158</v>
      </c>
      <c r="M371" s="715" t="s">
        <v>0</v>
      </c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</row>
    <row r="372" spans="1:52" ht="12.5" x14ac:dyDescent="0.25">
      <c r="B372" s="15" t="s">
        <v>9</v>
      </c>
      <c r="C372" s="5" t="s">
        <v>24</v>
      </c>
      <c r="D372" s="5"/>
      <c r="E372" s="46"/>
      <c r="F372" s="46"/>
      <c r="G372" s="748"/>
      <c r="H372" s="716"/>
      <c r="I372" s="716"/>
      <c r="J372" s="716"/>
      <c r="K372" s="749"/>
      <c r="L372" s="716"/>
      <c r="M372" s="716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</row>
    <row r="373" spans="1:52" ht="12.5" x14ac:dyDescent="0.25">
      <c r="B373" s="15" t="s">
        <v>56</v>
      </c>
      <c r="C373" s="5" t="s">
        <v>28</v>
      </c>
      <c r="D373" s="5"/>
      <c r="E373" s="46"/>
      <c r="F373" s="46"/>
      <c r="G373" s="595">
        <v>-12</v>
      </c>
      <c r="H373" s="13">
        <v>1.22</v>
      </c>
      <c r="I373" s="447">
        <f>SUM(Aksiaalipuhaltimet!Q133)</f>
        <v>0</v>
      </c>
      <c r="J373" s="22">
        <f>SUM(I373*H373)</f>
        <v>0</v>
      </c>
      <c r="K373" s="224">
        <v>-12</v>
      </c>
      <c r="L373" s="182">
        <f>SUM(Aksiaalipuhaltimet!Q143)</f>
        <v>0</v>
      </c>
      <c r="M373" s="55">
        <f>SUM(H373*L373)</f>
        <v>0</v>
      </c>
      <c r="P373" s="80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</row>
    <row r="374" spans="1:52" ht="12.5" x14ac:dyDescent="0.25">
      <c r="B374" s="15" t="s">
        <v>57</v>
      </c>
      <c r="C374" s="5" t="s">
        <v>25</v>
      </c>
      <c r="D374" s="5"/>
      <c r="E374" s="46"/>
      <c r="F374" s="46"/>
      <c r="G374" s="595">
        <v>-23</v>
      </c>
      <c r="H374" s="13">
        <v>1.92</v>
      </c>
      <c r="I374" s="447">
        <f>SUM(Aksiaalipuhaltimet!Q134)</f>
        <v>0</v>
      </c>
      <c r="J374" s="22">
        <f>SUM(I374*H374)</f>
        <v>0</v>
      </c>
      <c r="K374" s="183">
        <v>-23</v>
      </c>
      <c r="L374" s="182">
        <f>SUM(Aksiaalipuhaltimet!Q144)</f>
        <v>0</v>
      </c>
      <c r="M374" s="55">
        <f t="shared" ref="M374:M377" si="22">SUM(H374*L374)</f>
        <v>0</v>
      </c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</row>
    <row r="375" spans="1:52" ht="12.5" x14ac:dyDescent="0.25">
      <c r="B375" s="15" t="s">
        <v>58</v>
      </c>
      <c r="C375" s="5" t="s">
        <v>134</v>
      </c>
      <c r="D375" s="5"/>
      <c r="E375" s="46"/>
      <c r="F375" s="46"/>
      <c r="G375" s="446">
        <v>-40</v>
      </c>
      <c r="H375" s="22">
        <v>2.44</v>
      </c>
      <c r="I375" s="447">
        <f>SUM(Aksiaalipuhaltimet!Q135)</f>
        <v>0</v>
      </c>
      <c r="J375" s="22">
        <f>SUM(I375*H375)</f>
        <v>0</v>
      </c>
      <c r="K375" s="446">
        <v>-40</v>
      </c>
      <c r="L375" s="182">
        <f>SUM(Aksiaalipuhaltimet!Q145)</f>
        <v>0</v>
      </c>
      <c r="M375" s="55">
        <f t="shared" si="22"/>
        <v>0</v>
      </c>
      <c r="N375" s="83"/>
      <c r="O375" s="83"/>
      <c r="P375" s="83"/>
      <c r="Q375" s="83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</row>
    <row r="376" spans="1:52" ht="12.5" x14ac:dyDescent="0.25">
      <c r="B376" s="15" t="s">
        <v>59</v>
      </c>
      <c r="C376" s="5" t="s">
        <v>46</v>
      </c>
      <c r="D376" s="5"/>
      <c r="E376" s="46"/>
      <c r="F376" s="46"/>
      <c r="G376" s="594" t="s">
        <v>500</v>
      </c>
      <c r="H376" s="22">
        <v>2.88</v>
      </c>
      <c r="I376" s="447">
        <f>SUM(Aksiaalipuhaltimet!Q136)</f>
        <v>0</v>
      </c>
      <c r="J376" s="22">
        <f>SUM(I376*H376)</f>
        <v>0</v>
      </c>
      <c r="K376" s="446">
        <v>-56</v>
      </c>
      <c r="L376" s="182">
        <f>SUM(Aksiaalipuhaltimet!Q146)</f>
        <v>0</v>
      </c>
      <c r="M376" s="55">
        <f t="shared" si="22"/>
        <v>0</v>
      </c>
      <c r="N376" s="83"/>
      <c r="O376" s="83"/>
      <c r="P376" s="83"/>
      <c r="Q376" s="83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</row>
    <row r="377" spans="1:52" ht="12.5" x14ac:dyDescent="0.25">
      <c r="B377" s="15" t="s">
        <v>60</v>
      </c>
      <c r="C377" s="5" t="s">
        <v>26</v>
      </c>
      <c r="D377" s="5"/>
      <c r="E377" s="46"/>
      <c r="F377" s="46"/>
      <c r="G377" s="594">
        <v>-71</v>
      </c>
      <c r="H377" s="22">
        <v>4.28</v>
      </c>
      <c r="I377" s="447">
        <f>SUM(Aksiaalipuhaltimet!Q137)</f>
        <v>0</v>
      </c>
      <c r="J377" s="22">
        <f>SUM(I377*H377)</f>
        <v>0</v>
      </c>
      <c r="K377" s="446">
        <v>-71</v>
      </c>
      <c r="L377" s="182">
        <f>SUM(Aksiaalipuhaltimet!Q147)</f>
        <v>0</v>
      </c>
      <c r="M377" s="55">
        <f t="shared" si="22"/>
        <v>0</v>
      </c>
      <c r="N377" s="83"/>
      <c r="O377" s="83"/>
      <c r="P377" s="83"/>
      <c r="Q377" s="83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</row>
    <row r="378" spans="1:52" ht="13.5" thickBot="1" x14ac:dyDescent="0.35">
      <c r="B378" s="5"/>
      <c r="C378" s="5"/>
      <c r="D378" s="5"/>
      <c r="E378" s="46"/>
      <c r="F378" s="46"/>
      <c r="G378" s="34"/>
      <c r="H378" s="34"/>
      <c r="I378" s="171" t="s">
        <v>0</v>
      </c>
      <c r="J378" s="678">
        <f>SUM(J373:J377)</f>
        <v>0</v>
      </c>
      <c r="K378" s="90"/>
      <c r="L378" s="171" t="s">
        <v>0</v>
      </c>
      <c r="M378" s="678">
        <f>SUM(M373:M377)</f>
        <v>0</v>
      </c>
      <c r="N378" s="83"/>
      <c r="O378" s="83"/>
      <c r="P378" s="83"/>
      <c r="Q378" s="83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</row>
    <row r="379" spans="1:52" ht="33" thickBot="1" x14ac:dyDescent="0.7">
      <c r="I379" s="172"/>
      <c r="J379" s="172"/>
      <c r="L379" s="172"/>
      <c r="M379" s="172"/>
      <c r="N379" s="714"/>
      <c r="O379" s="714"/>
      <c r="P379" s="90" t="s">
        <v>220</v>
      </c>
      <c r="Q379" s="185" t="s">
        <v>0</v>
      </c>
      <c r="R379" s="683">
        <f>SUM(E365+H365+K365+N365+Q365+J378+M378)</f>
        <v>0</v>
      </c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</row>
    <row r="380" spans="1:52" ht="39.75" customHeight="1" x14ac:dyDescent="0.65"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</row>
    <row r="381" spans="1:52" ht="1.5" hidden="1" customHeight="1" x14ac:dyDescent="0.65">
      <c r="S381" s="31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</row>
    <row r="382" spans="1:52" ht="33.75" customHeight="1" x14ac:dyDescent="0.65">
      <c r="A382" s="35" t="s">
        <v>517</v>
      </c>
      <c r="H382" s="402"/>
      <c r="I382" s="35" t="s">
        <v>492</v>
      </c>
      <c r="M382" s="325" t="s">
        <v>234</v>
      </c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</row>
    <row r="383" spans="1:52" ht="24" customHeight="1" x14ac:dyDescent="0.65">
      <c r="A383" s="596" t="s">
        <v>502</v>
      </c>
      <c r="I383" s="59"/>
      <c r="J383" s="59"/>
      <c r="R383" s="575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</row>
    <row r="384" spans="1:52" ht="15.75" customHeight="1" x14ac:dyDescent="0.3">
      <c r="A384" s="80" t="s">
        <v>238</v>
      </c>
      <c r="F384" s="25" t="s">
        <v>237</v>
      </c>
      <c r="G384" s="75">
        <v>0.1</v>
      </c>
      <c r="I384" s="59" t="s">
        <v>476</v>
      </c>
      <c r="Q384" s="74" t="s">
        <v>237</v>
      </c>
      <c r="R384" s="73">
        <v>0.2</v>
      </c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</row>
    <row r="385" spans="1:52" ht="15.75" customHeight="1" x14ac:dyDescent="0.3">
      <c r="A385" s="80" t="s">
        <v>243</v>
      </c>
      <c r="G385" s="76"/>
      <c r="I385" s="59" t="s">
        <v>235</v>
      </c>
      <c r="J385" s="59"/>
      <c r="K385" s="59"/>
      <c r="L385" s="59"/>
      <c r="Q385" s="74" t="s">
        <v>237</v>
      </c>
      <c r="R385" s="73">
        <v>0.3</v>
      </c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</row>
    <row r="386" spans="1:52" ht="15.75" customHeight="1" x14ac:dyDescent="0.25">
      <c r="A386" s="5" t="s">
        <v>244</v>
      </c>
      <c r="F386" s="25" t="s">
        <v>237</v>
      </c>
      <c r="G386" s="75">
        <v>0.16</v>
      </c>
      <c r="I386" s="5" t="s">
        <v>421</v>
      </c>
      <c r="P386" s="80" t="s">
        <v>480</v>
      </c>
      <c r="Q386" s="74" t="s">
        <v>237</v>
      </c>
      <c r="R386" s="73">
        <v>0.5</v>
      </c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</row>
    <row r="387" spans="1:52" ht="15.75" customHeight="1" x14ac:dyDescent="0.25">
      <c r="A387" s="80" t="s">
        <v>239</v>
      </c>
      <c r="F387" s="25" t="s">
        <v>237</v>
      </c>
      <c r="G387" s="75">
        <v>0.2</v>
      </c>
      <c r="I387" s="5" t="s">
        <v>421</v>
      </c>
      <c r="P387" s="80" t="s">
        <v>479</v>
      </c>
      <c r="Q387" s="74" t="s">
        <v>237</v>
      </c>
      <c r="R387" s="73">
        <v>0.25</v>
      </c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</row>
    <row r="388" spans="1:52" ht="15.75" customHeight="1" x14ac:dyDescent="0.3">
      <c r="A388" s="59" t="s">
        <v>503</v>
      </c>
      <c r="B388" s="5"/>
      <c r="F388" s="25"/>
      <c r="G388" s="75"/>
      <c r="H388" s="15"/>
      <c r="I388" s="80" t="s">
        <v>236</v>
      </c>
      <c r="P388" s="80" t="s">
        <v>477</v>
      </c>
      <c r="Q388" s="74" t="s">
        <v>237</v>
      </c>
      <c r="R388" s="73">
        <v>0.25</v>
      </c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</row>
    <row r="389" spans="1:52" ht="16.5" customHeight="1" x14ac:dyDescent="0.25">
      <c r="A389" s="80" t="s">
        <v>505</v>
      </c>
      <c r="B389" s="5"/>
      <c r="F389" s="96" t="s">
        <v>237</v>
      </c>
      <c r="G389" s="75">
        <v>0.15</v>
      </c>
      <c r="H389" s="15"/>
      <c r="I389" s="5" t="s">
        <v>236</v>
      </c>
      <c r="P389" s="80" t="s">
        <v>478</v>
      </c>
      <c r="Q389" s="74" t="s">
        <v>237</v>
      </c>
      <c r="R389" s="73">
        <v>0.5</v>
      </c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</row>
    <row r="390" spans="1:52" ht="15.75" customHeight="1" x14ac:dyDescent="0.25">
      <c r="A390" s="80" t="s">
        <v>504</v>
      </c>
      <c r="F390" s="96" t="s">
        <v>237</v>
      </c>
      <c r="G390" s="597">
        <v>0.3</v>
      </c>
      <c r="H390" s="15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</row>
    <row r="391" spans="1:52" ht="15.75" customHeight="1" x14ac:dyDescent="0.65">
      <c r="A391" s="35"/>
      <c r="H391" s="15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</row>
    <row r="392" spans="1:52" ht="21" customHeight="1" x14ac:dyDescent="0.65">
      <c r="E392" s="5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</row>
    <row r="393" spans="1:52" ht="13" x14ac:dyDescent="0.3">
      <c r="A393" s="59" t="s">
        <v>394</v>
      </c>
      <c r="G393" s="4" t="s">
        <v>224</v>
      </c>
      <c r="H393" s="82" t="s">
        <v>223</v>
      </c>
      <c r="I393" s="16" t="s">
        <v>250</v>
      </c>
      <c r="J393" s="16" t="s">
        <v>0</v>
      </c>
      <c r="K393" s="150" t="s">
        <v>394</v>
      </c>
      <c r="L393" s="17"/>
      <c r="M393" s="17"/>
      <c r="N393" s="17"/>
      <c r="P393" s="81" t="s">
        <v>224</v>
      </c>
      <c r="Q393" s="16" t="s">
        <v>225</v>
      </c>
      <c r="R393" s="16" t="s">
        <v>390</v>
      </c>
      <c r="S393" s="15" t="s">
        <v>0</v>
      </c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</row>
    <row r="394" spans="1:52" ht="12.5" x14ac:dyDescent="0.25">
      <c r="A394" s="689"/>
      <c r="B394" s="690"/>
      <c r="C394" s="690"/>
      <c r="D394" s="690"/>
      <c r="E394" s="690"/>
      <c r="F394" s="691"/>
      <c r="G394" s="420"/>
      <c r="H394" s="331"/>
      <c r="I394" s="364">
        <v>0</v>
      </c>
      <c r="J394" s="330">
        <f>SUM(G394*H394*I394%)</f>
        <v>0</v>
      </c>
      <c r="K394" s="686"/>
      <c r="L394" s="687"/>
      <c r="M394" s="687"/>
      <c r="N394" s="687"/>
      <c r="O394" s="688"/>
      <c r="P394" s="421"/>
      <c r="Q394" s="337"/>
      <c r="R394" s="403">
        <v>0</v>
      </c>
      <c r="S394" s="97">
        <f>SUM(P394*Q394*R394%)</f>
        <v>0</v>
      </c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</row>
    <row r="395" spans="1:52" ht="12.5" x14ac:dyDescent="0.25">
      <c r="A395" s="689"/>
      <c r="B395" s="690"/>
      <c r="C395" s="690"/>
      <c r="D395" s="690"/>
      <c r="E395" s="690"/>
      <c r="F395" s="691"/>
      <c r="G395" s="420"/>
      <c r="H395" s="332"/>
      <c r="I395" s="365">
        <v>0</v>
      </c>
      <c r="J395" s="97">
        <f>SUM(G395*H395*I395%)</f>
        <v>0</v>
      </c>
      <c r="K395" s="686"/>
      <c r="L395" s="687"/>
      <c r="M395" s="687"/>
      <c r="N395" s="687"/>
      <c r="O395" s="688"/>
      <c r="P395" s="422"/>
      <c r="Q395" s="333"/>
      <c r="R395" s="404">
        <v>0</v>
      </c>
      <c r="S395" s="97">
        <f>SUM(P395*Q395*R395%)</f>
        <v>0</v>
      </c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</row>
    <row r="396" spans="1:52" ht="12.5" x14ac:dyDescent="0.25">
      <c r="A396" s="689"/>
      <c r="B396" s="690"/>
      <c r="C396" s="690"/>
      <c r="D396" s="690"/>
      <c r="E396" s="690"/>
      <c r="F396" s="691"/>
      <c r="G396" s="420"/>
      <c r="H396" s="332"/>
      <c r="I396" s="365">
        <v>0</v>
      </c>
      <c r="J396" s="330">
        <f>SUM(G396*H396*I396%)</f>
        <v>0</v>
      </c>
      <c r="K396" s="686"/>
      <c r="L396" s="687"/>
      <c r="M396" s="687"/>
      <c r="N396" s="687"/>
      <c r="O396" s="688"/>
      <c r="P396" s="423"/>
      <c r="Q396" s="333"/>
      <c r="R396" s="404">
        <v>0</v>
      </c>
      <c r="S396" s="97">
        <f t="shared" ref="S396:S410" si="23">SUM(P396*Q396*R396%)</f>
        <v>0</v>
      </c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</row>
    <row r="397" spans="1:52" ht="12.5" x14ac:dyDescent="0.25">
      <c r="A397" s="689"/>
      <c r="B397" s="690"/>
      <c r="C397" s="690"/>
      <c r="D397" s="690"/>
      <c r="E397" s="690"/>
      <c r="F397" s="691"/>
      <c r="G397" s="420"/>
      <c r="H397" s="332"/>
      <c r="I397" s="365">
        <v>0</v>
      </c>
      <c r="J397" s="97">
        <f t="shared" ref="J397:J409" si="24">SUM(G397*H397*I397%)</f>
        <v>0</v>
      </c>
      <c r="K397" s="686"/>
      <c r="L397" s="687"/>
      <c r="M397" s="687"/>
      <c r="N397" s="687"/>
      <c r="O397" s="688"/>
      <c r="P397" s="422"/>
      <c r="Q397" s="333"/>
      <c r="R397" s="404">
        <v>0</v>
      </c>
      <c r="S397" s="97">
        <f t="shared" si="23"/>
        <v>0</v>
      </c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</row>
    <row r="398" spans="1:52" ht="12.5" x14ac:dyDescent="0.25">
      <c r="A398" s="689"/>
      <c r="B398" s="690"/>
      <c r="C398" s="690"/>
      <c r="D398" s="690"/>
      <c r="E398" s="690"/>
      <c r="F398" s="691"/>
      <c r="G398" s="420"/>
      <c r="H398" s="332"/>
      <c r="I398" s="365">
        <v>0</v>
      </c>
      <c r="J398" s="330">
        <f t="shared" si="24"/>
        <v>0</v>
      </c>
      <c r="K398" s="686"/>
      <c r="L398" s="687"/>
      <c r="M398" s="687"/>
      <c r="N398" s="687"/>
      <c r="O398" s="688"/>
      <c r="P398" s="423"/>
      <c r="Q398" s="333"/>
      <c r="R398" s="404">
        <v>0</v>
      </c>
      <c r="S398" s="97">
        <f t="shared" si="23"/>
        <v>0</v>
      </c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</row>
    <row r="399" spans="1:52" ht="12.5" x14ac:dyDescent="0.25">
      <c r="A399" s="689"/>
      <c r="B399" s="690"/>
      <c r="C399" s="690"/>
      <c r="D399" s="690"/>
      <c r="E399" s="690"/>
      <c r="F399" s="691"/>
      <c r="G399" s="420"/>
      <c r="H399" s="332"/>
      <c r="I399" s="365">
        <v>0</v>
      </c>
      <c r="J399" s="97">
        <f t="shared" si="24"/>
        <v>0</v>
      </c>
      <c r="K399" s="686"/>
      <c r="L399" s="687"/>
      <c r="M399" s="687"/>
      <c r="N399" s="687"/>
      <c r="O399" s="688"/>
      <c r="P399" s="422"/>
      <c r="Q399" s="333"/>
      <c r="R399" s="404">
        <v>0</v>
      </c>
      <c r="S399" s="97">
        <f t="shared" si="23"/>
        <v>0</v>
      </c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</row>
    <row r="400" spans="1:52" ht="12.5" x14ac:dyDescent="0.25">
      <c r="A400" s="689"/>
      <c r="B400" s="690"/>
      <c r="C400" s="690"/>
      <c r="D400" s="690"/>
      <c r="E400" s="690"/>
      <c r="F400" s="691"/>
      <c r="G400" s="420"/>
      <c r="H400" s="332"/>
      <c r="I400" s="365">
        <v>0</v>
      </c>
      <c r="J400" s="330">
        <f t="shared" si="24"/>
        <v>0</v>
      </c>
      <c r="K400" s="686"/>
      <c r="L400" s="687"/>
      <c r="M400" s="687"/>
      <c r="N400" s="687"/>
      <c r="O400" s="688"/>
      <c r="P400" s="423"/>
      <c r="Q400" s="333"/>
      <c r="R400" s="404">
        <v>0</v>
      </c>
      <c r="S400" s="97">
        <f t="shared" si="23"/>
        <v>0</v>
      </c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</row>
    <row r="401" spans="1:52" ht="12.5" x14ac:dyDescent="0.25">
      <c r="A401" s="689"/>
      <c r="B401" s="690"/>
      <c r="C401" s="690"/>
      <c r="D401" s="690"/>
      <c r="E401" s="690"/>
      <c r="F401" s="691"/>
      <c r="G401" s="420"/>
      <c r="H401" s="332"/>
      <c r="I401" s="365">
        <v>0</v>
      </c>
      <c r="J401" s="97">
        <f t="shared" si="24"/>
        <v>0</v>
      </c>
      <c r="K401" s="686"/>
      <c r="L401" s="687"/>
      <c r="M401" s="687"/>
      <c r="N401" s="687"/>
      <c r="O401" s="688"/>
      <c r="P401" s="422"/>
      <c r="Q401" s="333"/>
      <c r="R401" s="404">
        <v>0</v>
      </c>
      <c r="S401" s="97">
        <f t="shared" si="23"/>
        <v>0</v>
      </c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</row>
    <row r="402" spans="1:52" ht="12.5" x14ac:dyDescent="0.25">
      <c r="A402" s="689"/>
      <c r="B402" s="690"/>
      <c r="C402" s="690"/>
      <c r="D402" s="690"/>
      <c r="E402" s="690"/>
      <c r="F402" s="691"/>
      <c r="G402" s="420"/>
      <c r="H402" s="332"/>
      <c r="I402" s="365">
        <v>0</v>
      </c>
      <c r="J402" s="330">
        <f t="shared" si="24"/>
        <v>0</v>
      </c>
      <c r="K402" s="686"/>
      <c r="L402" s="687"/>
      <c r="M402" s="687"/>
      <c r="N402" s="687"/>
      <c r="O402" s="688"/>
      <c r="P402" s="423"/>
      <c r="Q402" s="333"/>
      <c r="R402" s="404">
        <v>0</v>
      </c>
      <c r="S402" s="97">
        <f t="shared" si="23"/>
        <v>0</v>
      </c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</row>
    <row r="403" spans="1:52" ht="12.5" x14ac:dyDescent="0.25">
      <c r="A403" s="689"/>
      <c r="B403" s="690"/>
      <c r="C403" s="690"/>
      <c r="D403" s="690"/>
      <c r="E403" s="690"/>
      <c r="F403" s="691"/>
      <c r="G403" s="420"/>
      <c r="H403" s="332"/>
      <c r="I403" s="365">
        <v>0</v>
      </c>
      <c r="J403" s="97">
        <f t="shared" si="24"/>
        <v>0</v>
      </c>
      <c r="K403" s="686"/>
      <c r="L403" s="687"/>
      <c r="M403" s="687"/>
      <c r="N403" s="687"/>
      <c r="O403" s="688"/>
      <c r="P403" s="422"/>
      <c r="Q403" s="333"/>
      <c r="R403" s="404">
        <v>0</v>
      </c>
      <c r="S403" s="97">
        <f t="shared" si="23"/>
        <v>0</v>
      </c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</row>
    <row r="404" spans="1:52" ht="12.5" x14ac:dyDescent="0.25">
      <c r="A404" s="689"/>
      <c r="B404" s="690"/>
      <c r="C404" s="690"/>
      <c r="D404" s="690"/>
      <c r="E404" s="690"/>
      <c r="F404" s="691"/>
      <c r="G404" s="420"/>
      <c r="H404" s="332"/>
      <c r="I404" s="365">
        <v>0</v>
      </c>
      <c r="J404" s="330">
        <f t="shared" si="24"/>
        <v>0</v>
      </c>
      <c r="K404" s="686"/>
      <c r="L404" s="687"/>
      <c r="M404" s="687"/>
      <c r="N404" s="687"/>
      <c r="O404" s="688"/>
      <c r="P404" s="423"/>
      <c r="Q404" s="333"/>
      <c r="R404" s="404">
        <v>0</v>
      </c>
      <c r="S404" s="97">
        <f t="shared" si="23"/>
        <v>0</v>
      </c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</row>
    <row r="405" spans="1:52" ht="12.5" x14ac:dyDescent="0.25">
      <c r="A405" s="689"/>
      <c r="B405" s="690"/>
      <c r="C405" s="690"/>
      <c r="D405" s="690"/>
      <c r="E405" s="690"/>
      <c r="F405" s="691"/>
      <c r="G405" s="420"/>
      <c r="H405" s="332"/>
      <c r="I405" s="365">
        <v>0</v>
      </c>
      <c r="J405" s="97">
        <f t="shared" si="24"/>
        <v>0</v>
      </c>
      <c r="K405" s="686"/>
      <c r="L405" s="687"/>
      <c r="M405" s="687"/>
      <c r="N405" s="687"/>
      <c r="O405" s="688"/>
      <c r="P405" s="422"/>
      <c r="Q405" s="333"/>
      <c r="R405" s="404">
        <v>0</v>
      </c>
      <c r="S405" s="97">
        <f t="shared" si="23"/>
        <v>0</v>
      </c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</row>
    <row r="406" spans="1:52" ht="12.5" x14ac:dyDescent="0.25">
      <c r="A406" s="689"/>
      <c r="B406" s="690"/>
      <c r="C406" s="690"/>
      <c r="D406" s="690"/>
      <c r="E406" s="690"/>
      <c r="F406" s="691"/>
      <c r="G406" s="420"/>
      <c r="H406" s="332"/>
      <c r="I406" s="365">
        <v>0</v>
      </c>
      <c r="J406" s="330">
        <f t="shared" si="24"/>
        <v>0</v>
      </c>
      <c r="K406" s="686"/>
      <c r="L406" s="687"/>
      <c r="M406" s="687"/>
      <c r="N406" s="687"/>
      <c r="O406" s="688"/>
      <c r="P406" s="423"/>
      <c r="Q406" s="333"/>
      <c r="R406" s="404">
        <v>0</v>
      </c>
      <c r="S406" s="97">
        <f t="shared" si="23"/>
        <v>0</v>
      </c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</row>
    <row r="407" spans="1:52" ht="12.5" x14ac:dyDescent="0.25">
      <c r="A407" s="689"/>
      <c r="B407" s="690"/>
      <c r="C407" s="690"/>
      <c r="D407" s="690"/>
      <c r="E407" s="690"/>
      <c r="F407" s="691"/>
      <c r="G407" s="420"/>
      <c r="H407" s="332"/>
      <c r="I407" s="365">
        <v>0</v>
      </c>
      <c r="J407" s="97">
        <f t="shared" si="24"/>
        <v>0</v>
      </c>
      <c r="K407" s="686"/>
      <c r="L407" s="687"/>
      <c r="M407" s="687"/>
      <c r="N407" s="687"/>
      <c r="O407" s="688"/>
      <c r="P407" s="422"/>
      <c r="Q407" s="333"/>
      <c r="R407" s="404">
        <v>0</v>
      </c>
      <c r="S407" s="97">
        <f t="shared" si="23"/>
        <v>0</v>
      </c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</row>
    <row r="408" spans="1:52" ht="12.5" x14ac:dyDescent="0.25">
      <c r="A408" s="689"/>
      <c r="B408" s="690"/>
      <c r="C408" s="690"/>
      <c r="D408" s="690"/>
      <c r="E408" s="690"/>
      <c r="F408" s="691"/>
      <c r="G408" s="420"/>
      <c r="H408" s="332"/>
      <c r="I408" s="365">
        <v>0</v>
      </c>
      <c r="J408" s="330">
        <f t="shared" si="24"/>
        <v>0</v>
      </c>
      <c r="K408" s="686"/>
      <c r="L408" s="687"/>
      <c r="M408" s="687"/>
      <c r="N408" s="687"/>
      <c r="O408" s="688"/>
      <c r="P408" s="423"/>
      <c r="Q408" s="333"/>
      <c r="R408" s="404">
        <v>0</v>
      </c>
      <c r="S408" s="97">
        <f t="shared" si="23"/>
        <v>0</v>
      </c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</row>
    <row r="409" spans="1:52" ht="12.5" x14ac:dyDescent="0.25">
      <c r="A409" s="689"/>
      <c r="B409" s="690"/>
      <c r="C409" s="690"/>
      <c r="D409" s="690"/>
      <c r="E409" s="690"/>
      <c r="F409" s="691"/>
      <c r="G409" s="420"/>
      <c r="H409" s="332"/>
      <c r="I409" s="365">
        <v>0</v>
      </c>
      <c r="J409" s="97">
        <f t="shared" si="24"/>
        <v>0</v>
      </c>
      <c r="K409" s="686"/>
      <c r="L409" s="687"/>
      <c r="M409" s="687"/>
      <c r="N409" s="687"/>
      <c r="O409" s="688"/>
      <c r="P409" s="422"/>
      <c r="Q409" s="333"/>
      <c r="R409" s="404">
        <v>0</v>
      </c>
      <c r="S409" s="97">
        <f t="shared" si="23"/>
        <v>0</v>
      </c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</row>
    <row r="410" spans="1:52" ht="12.5" x14ac:dyDescent="0.25">
      <c r="A410" s="689"/>
      <c r="B410" s="690"/>
      <c r="C410" s="690"/>
      <c r="D410" s="690"/>
      <c r="E410" s="690"/>
      <c r="F410" s="691"/>
      <c r="G410" s="420"/>
      <c r="H410" s="332"/>
      <c r="I410" s="365">
        <v>0</v>
      </c>
      <c r="J410" s="330">
        <f>SUM(G410*H410*I410%)</f>
        <v>0</v>
      </c>
      <c r="K410" s="686"/>
      <c r="L410" s="687"/>
      <c r="M410" s="687"/>
      <c r="N410" s="687"/>
      <c r="O410" s="688"/>
      <c r="P410" s="424"/>
      <c r="Q410" s="333"/>
      <c r="R410" s="404">
        <v>0</v>
      </c>
      <c r="S410" s="97">
        <f t="shared" si="23"/>
        <v>0</v>
      </c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</row>
    <row r="411" spans="1:52" ht="20.25" customHeight="1" thickBot="1" x14ac:dyDescent="0.7">
      <c r="H411" s="15"/>
      <c r="I411" s="89" t="s">
        <v>0</v>
      </c>
      <c r="J411" s="679">
        <f>SUM(J394:J410)</f>
        <v>0</v>
      </c>
      <c r="K411" s="89"/>
      <c r="L411" s="89"/>
      <c r="M411" s="89"/>
      <c r="N411" s="89"/>
      <c r="O411" s="89"/>
      <c r="P411" s="89"/>
      <c r="Q411" s="89"/>
      <c r="R411" s="89" t="s">
        <v>0</v>
      </c>
      <c r="S411" s="679">
        <f>SUM(S394:S410)</f>
        <v>0</v>
      </c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</row>
    <row r="412" spans="1:52" ht="31.5" customHeight="1" thickBot="1" x14ac:dyDescent="0.7">
      <c r="H412" s="15"/>
      <c r="I412" s="15"/>
      <c r="M412" s="59"/>
      <c r="N412" s="59"/>
      <c r="O412" s="88" t="s">
        <v>251</v>
      </c>
      <c r="P412" s="89" t="s">
        <v>220</v>
      </c>
      <c r="Q412" s="89" t="s">
        <v>0</v>
      </c>
      <c r="R412" s="659">
        <f>SUM(J411+S411)</f>
        <v>0</v>
      </c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</row>
    <row r="413" spans="1:52" ht="31.5" customHeight="1" x14ac:dyDescent="0.65">
      <c r="H413" s="15"/>
      <c r="I413" s="15"/>
      <c r="M413" s="59"/>
      <c r="N413" s="59"/>
      <c r="O413" s="88"/>
      <c r="P413" s="89"/>
      <c r="Q413" s="89"/>
      <c r="R413" s="528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</row>
    <row r="414" spans="1:52" ht="31.5" customHeight="1" x14ac:dyDescent="0.65">
      <c r="H414" s="15"/>
      <c r="I414" s="15"/>
      <c r="M414" s="59"/>
      <c r="N414" s="59"/>
      <c r="O414" s="88"/>
      <c r="P414" s="89"/>
      <c r="Q414" s="89"/>
      <c r="R414" s="528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</row>
    <row r="415" spans="1:52" ht="12.75" customHeight="1" x14ac:dyDescent="0.65">
      <c r="H415" s="15"/>
      <c r="I415" s="15"/>
      <c r="M415" s="59"/>
      <c r="N415" s="59"/>
      <c r="O415" s="88"/>
      <c r="P415" s="89"/>
      <c r="Q415" s="89"/>
      <c r="R415" s="528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</row>
    <row r="416" spans="1:52" ht="12.75" customHeight="1" x14ac:dyDescent="0.65">
      <c r="J416" s="325" t="s">
        <v>234</v>
      </c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</row>
    <row r="417" spans="1:52" ht="12.75" customHeight="1" x14ac:dyDescent="0.3">
      <c r="A417" s="640" t="s">
        <v>394</v>
      </c>
      <c r="B417" s="24"/>
      <c r="C417" s="24"/>
      <c r="D417" s="24"/>
      <c r="E417" s="24"/>
      <c r="F417" s="24"/>
      <c r="G417" s="1" t="s">
        <v>224</v>
      </c>
      <c r="H417" s="638" t="s">
        <v>223</v>
      </c>
      <c r="I417" s="52" t="s">
        <v>250</v>
      </c>
      <c r="J417" s="52" t="s">
        <v>0</v>
      </c>
      <c r="K417" s="410" t="s">
        <v>394</v>
      </c>
      <c r="L417" s="410"/>
      <c r="M417" s="410"/>
      <c r="N417" s="410"/>
      <c r="O417" s="437"/>
      <c r="P417" s="641" t="s">
        <v>224</v>
      </c>
      <c r="Q417" s="52" t="s">
        <v>225</v>
      </c>
      <c r="R417" s="52" t="s">
        <v>250</v>
      </c>
      <c r="S417" s="10" t="s">
        <v>0</v>
      </c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</row>
    <row r="418" spans="1:52" ht="12.75" customHeight="1" x14ac:dyDescent="0.25">
      <c r="A418" s="689"/>
      <c r="B418" s="690"/>
      <c r="C418" s="690"/>
      <c r="D418" s="690"/>
      <c r="E418" s="690"/>
      <c r="F418" s="691"/>
      <c r="G418" s="420"/>
      <c r="H418" s="331"/>
      <c r="I418" s="364">
        <v>0</v>
      </c>
      <c r="J418" s="330">
        <f>SUM(G418*H418*I418%)</f>
        <v>0</v>
      </c>
      <c r="K418" s="686"/>
      <c r="L418" s="687"/>
      <c r="M418" s="687"/>
      <c r="N418" s="687"/>
      <c r="O418" s="688"/>
      <c r="P418" s="421"/>
      <c r="Q418" s="337"/>
      <c r="R418" s="403">
        <v>0</v>
      </c>
      <c r="S418" s="97">
        <f t="shared" ref="S418:S451" si="25">SUM(Q418*R418%*P418)</f>
        <v>0</v>
      </c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</row>
    <row r="419" spans="1:52" ht="12.75" customHeight="1" x14ac:dyDescent="0.25">
      <c r="A419" s="689"/>
      <c r="B419" s="690"/>
      <c r="C419" s="690"/>
      <c r="D419" s="690"/>
      <c r="E419" s="690"/>
      <c r="F419" s="691"/>
      <c r="G419" s="420"/>
      <c r="H419" s="332"/>
      <c r="I419" s="365">
        <v>0</v>
      </c>
      <c r="J419" s="97">
        <f>SUM(G419*H419*I419%)</f>
        <v>0</v>
      </c>
      <c r="K419" s="686"/>
      <c r="L419" s="687"/>
      <c r="M419" s="687"/>
      <c r="N419" s="687"/>
      <c r="O419" s="688"/>
      <c r="P419" s="422"/>
      <c r="Q419" s="333"/>
      <c r="R419" s="404">
        <v>0</v>
      </c>
      <c r="S419" s="97">
        <f t="shared" si="25"/>
        <v>0</v>
      </c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</row>
    <row r="420" spans="1:52" ht="12.75" customHeight="1" x14ac:dyDescent="0.25">
      <c r="A420" s="689"/>
      <c r="B420" s="690"/>
      <c r="C420" s="690"/>
      <c r="D420" s="690"/>
      <c r="E420" s="690"/>
      <c r="F420" s="691"/>
      <c r="G420" s="420"/>
      <c r="H420" s="332"/>
      <c r="I420" s="365">
        <v>0</v>
      </c>
      <c r="J420" s="330">
        <f t="shared" ref="J420:J451" si="26">SUM(G420*H420*I420%)</f>
        <v>0</v>
      </c>
      <c r="K420" s="686"/>
      <c r="L420" s="687"/>
      <c r="M420" s="687"/>
      <c r="N420" s="687"/>
      <c r="O420" s="688"/>
      <c r="P420" s="423"/>
      <c r="Q420" s="333"/>
      <c r="R420" s="404">
        <v>0</v>
      </c>
      <c r="S420" s="97">
        <f t="shared" si="25"/>
        <v>0</v>
      </c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</row>
    <row r="421" spans="1:52" ht="12.75" customHeight="1" x14ac:dyDescent="0.25">
      <c r="A421" s="689"/>
      <c r="B421" s="690"/>
      <c r="C421" s="690"/>
      <c r="D421" s="690"/>
      <c r="E421" s="690"/>
      <c r="F421" s="691"/>
      <c r="G421" s="420"/>
      <c r="H421" s="332"/>
      <c r="I421" s="365">
        <v>0</v>
      </c>
      <c r="J421" s="97">
        <f t="shared" si="26"/>
        <v>0</v>
      </c>
      <c r="K421" s="686"/>
      <c r="L421" s="687"/>
      <c r="M421" s="687"/>
      <c r="N421" s="687"/>
      <c r="O421" s="688"/>
      <c r="P421" s="422"/>
      <c r="Q421" s="333"/>
      <c r="R421" s="404">
        <v>0</v>
      </c>
      <c r="S421" s="97">
        <f t="shared" si="25"/>
        <v>0</v>
      </c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</row>
    <row r="422" spans="1:52" ht="12.75" customHeight="1" x14ac:dyDescent="0.25">
      <c r="A422" s="689"/>
      <c r="B422" s="690"/>
      <c r="C422" s="690"/>
      <c r="D422" s="690"/>
      <c r="E422" s="690"/>
      <c r="F422" s="691"/>
      <c r="G422" s="420"/>
      <c r="H422" s="332"/>
      <c r="I422" s="365">
        <v>0</v>
      </c>
      <c r="J422" s="330">
        <f t="shared" si="26"/>
        <v>0</v>
      </c>
      <c r="K422" s="686"/>
      <c r="L422" s="687"/>
      <c r="M422" s="687"/>
      <c r="N422" s="687"/>
      <c r="O422" s="688"/>
      <c r="P422" s="423"/>
      <c r="Q422" s="333"/>
      <c r="R422" s="404">
        <v>0</v>
      </c>
      <c r="S422" s="97">
        <f t="shared" si="25"/>
        <v>0</v>
      </c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</row>
    <row r="423" spans="1:52" ht="12.75" customHeight="1" x14ac:dyDescent="0.25">
      <c r="A423" s="689"/>
      <c r="B423" s="690"/>
      <c r="C423" s="690"/>
      <c r="D423" s="690"/>
      <c r="E423" s="690"/>
      <c r="F423" s="691"/>
      <c r="G423" s="420"/>
      <c r="H423" s="332"/>
      <c r="I423" s="365">
        <v>0</v>
      </c>
      <c r="J423" s="97">
        <f t="shared" si="26"/>
        <v>0</v>
      </c>
      <c r="K423" s="686"/>
      <c r="L423" s="687"/>
      <c r="M423" s="687"/>
      <c r="N423" s="687"/>
      <c r="O423" s="688"/>
      <c r="P423" s="422"/>
      <c r="Q423" s="333"/>
      <c r="R423" s="404">
        <v>0</v>
      </c>
      <c r="S423" s="97">
        <f t="shared" si="25"/>
        <v>0</v>
      </c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</row>
    <row r="424" spans="1:52" ht="12.75" customHeight="1" x14ac:dyDescent="0.25">
      <c r="A424" s="689"/>
      <c r="B424" s="690"/>
      <c r="C424" s="690"/>
      <c r="D424" s="690"/>
      <c r="E424" s="690"/>
      <c r="F424" s="691"/>
      <c r="G424" s="420"/>
      <c r="H424" s="332"/>
      <c r="I424" s="365">
        <v>0</v>
      </c>
      <c r="J424" s="330">
        <f t="shared" si="26"/>
        <v>0</v>
      </c>
      <c r="K424" s="686"/>
      <c r="L424" s="687"/>
      <c r="M424" s="687"/>
      <c r="N424" s="687"/>
      <c r="O424" s="688"/>
      <c r="P424" s="423"/>
      <c r="Q424" s="333"/>
      <c r="R424" s="404">
        <v>0</v>
      </c>
      <c r="S424" s="97">
        <f t="shared" si="25"/>
        <v>0</v>
      </c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</row>
    <row r="425" spans="1:52" ht="12.75" customHeight="1" x14ac:dyDescent="0.25">
      <c r="A425" s="689"/>
      <c r="B425" s="690"/>
      <c r="C425" s="690"/>
      <c r="D425" s="690"/>
      <c r="E425" s="690"/>
      <c r="F425" s="691"/>
      <c r="G425" s="420"/>
      <c r="H425" s="332"/>
      <c r="I425" s="365">
        <v>0</v>
      </c>
      <c r="J425" s="97">
        <f t="shared" si="26"/>
        <v>0</v>
      </c>
      <c r="K425" s="686"/>
      <c r="L425" s="687"/>
      <c r="M425" s="687"/>
      <c r="N425" s="687"/>
      <c r="O425" s="688"/>
      <c r="P425" s="422"/>
      <c r="Q425" s="333"/>
      <c r="R425" s="404">
        <v>0</v>
      </c>
      <c r="S425" s="97">
        <f t="shared" si="25"/>
        <v>0</v>
      </c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</row>
    <row r="426" spans="1:52" ht="12.75" customHeight="1" x14ac:dyDescent="0.25">
      <c r="A426" s="689"/>
      <c r="B426" s="690"/>
      <c r="C426" s="690"/>
      <c r="D426" s="690"/>
      <c r="E426" s="690"/>
      <c r="F426" s="691"/>
      <c r="G426" s="420"/>
      <c r="H426" s="332"/>
      <c r="I426" s="365">
        <v>0</v>
      </c>
      <c r="J426" s="330">
        <f t="shared" si="26"/>
        <v>0</v>
      </c>
      <c r="K426" s="686"/>
      <c r="L426" s="687"/>
      <c r="M426" s="687"/>
      <c r="N426" s="687"/>
      <c r="O426" s="688"/>
      <c r="P426" s="423"/>
      <c r="Q426" s="333"/>
      <c r="R426" s="404">
        <v>0</v>
      </c>
      <c r="S426" s="97">
        <f t="shared" si="25"/>
        <v>0</v>
      </c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</row>
    <row r="427" spans="1:52" ht="12.75" customHeight="1" x14ac:dyDescent="0.25">
      <c r="A427" s="689"/>
      <c r="B427" s="690"/>
      <c r="C427" s="690"/>
      <c r="D427" s="690"/>
      <c r="E427" s="690"/>
      <c r="F427" s="691"/>
      <c r="G427" s="420"/>
      <c r="H427" s="332"/>
      <c r="I427" s="365">
        <v>0</v>
      </c>
      <c r="J427" s="97">
        <f t="shared" si="26"/>
        <v>0</v>
      </c>
      <c r="K427" s="686"/>
      <c r="L427" s="687"/>
      <c r="M427" s="687"/>
      <c r="N427" s="687"/>
      <c r="O427" s="688"/>
      <c r="P427" s="422"/>
      <c r="Q427" s="333"/>
      <c r="R427" s="404">
        <v>0</v>
      </c>
      <c r="S427" s="97">
        <f t="shared" si="25"/>
        <v>0</v>
      </c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</row>
    <row r="428" spans="1:52" ht="12.75" customHeight="1" x14ac:dyDescent="0.25">
      <c r="A428" s="689"/>
      <c r="B428" s="690"/>
      <c r="C428" s="690"/>
      <c r="D428" s="690"/>
      <c r="E428" s="690"/>
      <c r="F428" s="691"/>
      <c r="G428" s="420"/>
      <c r="H428" s="332"/>
      <c r="I428" s="365">
        <v>0</v>
      </c>
      <c r="J428" s="330">
        <f t="shared" si="26"/>
        <v>0</v>
      </c>
      <c r="K428" s="686"/>
      <c r="L428" s="687"/>
      <c r="M428" s="687"/>
      <c r="N428" s="687"/>
      <c r="O428" s="688"/>
      <c r="P428" s="423"/>
      <c r="Q428" s="333"/>
      <c r="R428" s="404">
        <v>0</v>
      </c>
      <c r="S428" s="97">
        <f t="shared" si="25"/>
        <v>0</v>
      </c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</row>
    <row r="429" spans="1:52" ht="12.75" customHeight="1" x14ac:dyDescent="0.25">
      <c r="A429" s="689"/>
      <c r="B429" s="690"/>
      <c r="C429" s="690"/>
      <c r="D429" s="690"/>
      <c r="E429" s="690"/>
      <c r="F429" s="691"/>
      <c r="G429" s="420"/>
      <c r="H429" s="332"/>
      <c r="I429" s="365">
        <v>0</v>
      </c>
      <c r="J429" s="97">
        <f t="shared" si="26"/>
        <v>0</v>
      </c>
      <c r="K429" s="686"/>
      <c r="L429" s="687"/>
      <c r="M429" s="687"/>
      <c r="N429" s="687"/>
      <c r="O429" s="688"/>
      <c r="P429" s="422"/>
      <c r="Q429" s="333"/>
      <c r="R429" s="404">
        <v>0</v>
      </c>
      <c r="S429" s="97">
        <f t="shared" si="25"/>
        <v>0</v>
      </c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</row>
    <row r="430" spans="1:52" ht="12.75" customHeight="1" x14ac:dyDescent="0.25">
      <c r="A430" s="689"/>
      <c r="B430" s="690"/>
      <c r="C430" s="690"/>
      <c r="D430" s="690"/>
      <c r="E430" s="690"/>
      <c r="F430" s="691"/>
      <c r="G430" s="420"/>
      <c r="H430" s="332"/>
      <c r="I430" s="365">
        <v>0</v>
      </c>
      <c r="J430" s="330">
        <f t="shared" si="26"/>
        <v>0</v>
      </c>
      <c r="K430" s="686"/>
      <c r="L430" s="687"/>
      <c r="M430" s="687"/>
      <c r="N430" s="687"/>
      <c r="O430" s="688"/>
      <c r="P430" s="423"/>
      <c r="Q430" s="333"/>
      <c r="R430" s="404">
        <v>0</v>
      </c>
      <c r="S430" s="97">
        <f t="shared" si="25"/>
        <v>0</v>
      </c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</row>
    <row r="431" spans="1:52" ht="12.75" customHeight="1" x14ac:dyDescent="0.25">
      <c r="A431" s="689"/>
      <c r="B431" s="690"/>
      <c r="C431" s="690"/>
      <c r="D431" s="690"/>
      <c r="E431" s="690"/>
      <c r="F431" s="691"/>
      <c r="G431" s="420"/>
      <c r="H431" s="332"/>
      <c r="I431" s="365">
        <v>0</v>
      </c>
      <c r="J431" s="97">
        <f t="shared" si="26"/>
        <v>0</v>
      </c>
      <c r="K431" s="686"/>
      <c r="L431" s="687"/>
      <c r="M431" s="687"/>
      <c r="N431" s="687"/>
      <c r="O431" s="688"/>
      <c r="P431" s="422"/>
      <c r="Q431" s="333"/>
      <c r="R431" s="404">
        <v>0</v>
      </c>
      <c r="S431" s="97">
        <f t="shared" si="25"/>
        <v>0</v>
      </c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</row>
    <row r="432" spans="1:52" ht="12.75" customHeight="1" x14ac:dyDescent="0.25">
      <c r="A432" s="689"/>
      <c r="B432" s="690"/>
      <c r="C432" s="690"/>
      <c r="D432" s="690"/>
      <c r="E432" s="690"/>
      <c r="F432" s="691"/>
      <c r="G432" s="420"/>
      <c r="H432" s="332"/>
      <c r="I432" s="365">
        <v>0</v>
      </c>
      <c r="J432" s="330">
        <f t="shared" si="26"/>
        <v>0</v>
      </c>
      <c r="K432" s="686"/>
      <c r="L432" s="687"/>
      <c r="M432" s="687"/>
      <c r="N432" s="687"/>
      <c r="O432" s="688"/>
      <c r="P432" s="423"/>
      <c r="Q432" s="333"/>
      <c r="R432" s="404">
        <v>0</v>
      </c>
      <c r="S432" s="97">
        <f t="shared" si="25"/>
        <v>0</v>
      </c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</row>
    <row r="433" spans="1:52" ht="12.75" customHeight="1" x14ac:dyDescent="0.25">
      <c r="A433" s="689"/>
      <c r="B433" s="690"/>
      <c r="C433" s="690"/>
      <c r="D433" s="690"/>
      <c r="E433" s="690"/>
      <c r="F433" s="691"/>
      <c r="G433" s="420"/>
      <c r="H433" s="332"/>
      <c r="I433" s="365">
        <v>0</v>
      </c>
      <c r="J433" s="97">
        <f t="shared" si="26"/>
        <v>0</v>
      </c>
      <c r="K433" s="686"/>
      <c r="L433" s="687"/>
      <c r="M433" s="687"/>
      <c r="N433" s="687"/>
      <c r="O433" s="688"/>
      <c r="P433" s="422"/>
      <c r="Q433" s="333"/>
      <c r="R433" s="404">
        <v>0</v>
      </c>
      <c r="S433" s="97">
        <f t="shared" si="25"/>
        <v>0</v>
      </c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</row>
    <row r="434" spans="1:52" ht="12.75" customHeight="1" x14ac:dyDescent="0.25">
      <c r="A434" s="689"/>
      <c r="B434" s="690"/>
      <c r="C434" s="690"/>
      <c r="D434" s="690"/>
      <c r="E434" s="690"/>
      <c r="F434" s="691"/>
      <c r="G434" s="420"/>
      <c r="H434" s="332"/>
      <c r="I434" s="365">
        <v>0</v>
      </c>
      <c r="J434" s="330">
        <f t="shared" si="26"/>
        <v>0</v>
      </c>
      <c r="K434" s="686"/>
      <c r="L434" s="687"/>
      <c r="M434" s="687"/>
      <c r="N434" s="687"/>
      <c r="O434" s="688"/>
      <c r="P434" s="424"/>
      <c r="Q434" s="333"/>
      <c r="R434" s="404">
        <v>0</v>
      </c>
      <c r="S434" s="97">
        <f t="shared" si="25"/>
        <v>0</v>
      </c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</row>
    <row r="435" spans="1:52" ht="12.75" customHeight="1" x14ac:dyDescent="0.25">
      <c r="A435" s="689"/>
      <c r="B435" s="690"/>
      <c r="C435" s="690"/>
      <c r="D435" s="690"/>
      <c r="E435" s="690"/>
      <c r="F435" s="691"/>
      <c r="G435" s="420"/>
      <c r="H435" s="331"/>
      <c r="I435" s="364">
        <v>0</v>
      </c>
      <c r="J435" s="97">
        <f t="shared" si="26"/>
        <v>0</v>
      </c>
      <c r="K435" s="686"/>
      <c r="L435" s="687"/>
      <c r="M435" s="687"/>
      <c r="N435" s="687"/>
      <c r="O435" s="688"/>
      <c r="P435" s="421"/>
      <c r="Q435" s="337"/>
      <c r="R435" s="403">
        <v>0</v>
      </c>
      <c r="S435" s="97">
        <f t="shared" si="25"/>
        <v>0</v>
      </c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</row>
    <row r="436" spans="1:52" ht="12.75" customHeight="1" x14ac:dyDescent="0.25">
      <c r="A436" s="689"/>
      <c r="B436" s="690"/>
      <c r="C436" s="690"/>
      <c r="D436" s="690"/>
      <c r="E436" s="690"/>
      <c r="F436" s="691"/>
      <c r="G436" s="420"/>
      <c r="H436" s="332"/>
      <c r="I436" s="365">
        <v>0</v>
      </c>
      <c r="J436" s="330">
        <f t="shared" si="26"/>
        <v>0</v>
      </c>
      <c r="K436" s="686"/>
      <c r="L436" s="687"/>
      <c r="M436" s="687"/>
      <c r="N436" s="687"/>
      <c r="O436" s="688"/>
      <c r="P436" s="422"/>
      <c r="Q436" s="333"/>
      <c r="R436" s="404">
        <v>0</v>
      </c>
      <c r="S436" s="97">
        <f t="shared" si="25"/>
        <v>0</v>
      </c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</row>
    <row r="437" spans="1:52" ht="12.75" customHeight="1" x14ac:dyDescent="0.25">
      <c r="A437" s="689"/>
      <c r="B437" s="690"/>
      <c r="C437" s="690"/>
      <c r="D437" s="690"/>
      <c r="E437" s="690"/>
      <c r="F437" s="691"/>
      <c r="G437" s="420"/>
      <c r="H437" s="332"/>
      <c r="I437" s="365">
        <v>0</v>
      </c>
      <c r="J437" s="97">
        <f t="shared" si="26"/>
        <v>0</v>
      </c>
      <c r="K437" s="686"/>
      <c r="L437" s="687"/>
      <c r="M437" s="687"/>
      <c r="N437" s="687"/>
      <c r="O437" s="688"/>
      <c r="P437" s="423"/>
      <c r="Q437" s="333"/>
      <c r="R437" s="404">
        <v>0</v>
      </c>
      <c r="S437" s="97">
        <f t="shared" si="25"/>
        <v>0</v>
      </c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</row>
    <row r="438" spans="1:52" ht="12.75" customHeight="1" x14ac:dyDescent="0.25">
      <c r="A438" s="689"/>
      <c r="B438" s="690"/>
      <c r="C438" s="690"/>
      <c r="D438" s="690"/>
      <c r="E438" s="690"/>
      <c r="F438" s="691"/>
      <c r="G438" s="420"/>
      <c r="H438" s="332"/>
      <c r="I438" s="365">
        <v>0</v>
      </c>
      <c r="J438" s="330">
        <f t="shared" si="26"/>
        <v>0</v>
      </c>
      <c r="K438" s="686"/>
      <c r="L438" s="687"/>
      <c r="M438" s="687"/>
      <c r="N438" s="687"/>
      <c r="O438" s="688"/>
      <c r="P438" s="422"/>
      <c r="Q438" s="333"/>
      <c r="R438" s="404">
        <v>0</v>
      </c>
      <c r="S438" s="97">
        <f t="shared" si="25"/>
        <v>0</v>
      </c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</row>
    <row r="439" spans="1:52" ht="12.75" customHeight="1" x14ac:dyDescent="0.25">
      <c r="A439" s="689"/>
      <c r="B439" s="690"/>
      <c r="C439" s="690"/>
      <c r="D439" s="690"/>
      <c r="E439" s="690"/>
      <c r="F439" s="691"/>
      <c r="G439" s="420"/>
      <c r="H439" s="332"/>
      <c r="I439" s="365">
        <v>0</v>
      </c>
      <c r="J439" s="97">
        <f t="shared" si="26"/>
        <v>0</v>
      </c>
      <c r="K439" s="686"/>
      <c r="L439" s="687"/>
      <c r="M439" s="687"/>
      <c r="N439" s="687"/>
      <c r="O439" s="688"/>
      <c r="P439" s="423"/>
      <c r="Q439" s="333"/>
      <c r="R439" s="404">
        <v>0</v>
      </c>
      <c r="S439" s="97">
        <f t="shared" si="25"/>
        <v>0</v>
      </c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</row>
    <row r="440" spans="1:52" ht="12.75" customHeight="1" x14ac:dyDescent="0.25">
      <c r="A440" s="689"/>
      <c r="B440" s="690"/>
      <c r="C440" s="690"/>
      <c r="D440" s="690"/>
      <c r="E440" s="690"/>
      <c r="F440" s="691"/>
      <c r="G440" s="420"/>
      <c r="H440" s="332"/>
      <c r="I440" s="365">
        <v>0</v>
      </c>
      <c r="J440" s="330">
        <f t="shared" si="26"/>
        <v>0</v>
      </c>
      <c r="K440" s="686"/>
      <c r="L440" s="687"/>
      <c r="M440" s="687"/>
      <c r="N440" s="687"/>
      <c r="O440" s="688"/>
      <c r="P440" s="422"/>
      <c r="Q440" s="333"/>
      <c r="R440" s="404">
        <v>0</v>
      </c>
      <c r="S440" s="97">
        <f t="shared" si="25"/>
        <v>0</v>
      </c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</row>
    <row r="441" spans="1:52" ht="12.75" customHeight="1" x14ac:dyDescent="0.25">
      <c r="A441" s="689"/>
      <c r="B441" s="690"/>
      <c r="C441" s="690"/>
      <c r="D441" s="690"/>
      <c r="E441" s="690"/>
      <c r="F441" s="691"/>
      <c r="G441" s="420"/>
      <c r="H441" s="332"/>
      <c r="I441" s="365">
        <v>0</v>
      </c>
      <c r="J441" s="97">
        <f t="shared" si="26"/>
        <v>0</v>
      </c>
      <c r="K441" s="686"/>
      <c r="L441" s="687"/>
      <c r="M441" s="687"/>
      <c r="N441" s="687"/>
      <c r="O441" s="688"/>
      <c r="P441" s="423"/>
      <c r="Q441" s="333"/>
      <c r="R441" s="404">
        <v>0</v>
      </c>
      <c r="S441" s="97">
        <f t="shared" si="25"/>
        <v>0</v>
      </c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</row>
    <row r="442" spans="1:52" ht="12.75" customHeight="1" x14ac:dyDescent="0.25">
      <c r="A442" s="689"/>
      <c r="B442" s="690"/>
      <c r="C442" s="690"/>
      <c r="D442" s="690"/>
      <c r="E442" s="690"/>
      <c r="F442" s="691"/>
      <c r="G442" s="420"/>
      <c r="H442" s="332"/>
      <c r="I442" s="365">
        <v>0</v>
      </c>
      <c r="J442" s="330">
        <f t="shared" si="26"/>
        <v>0</v>
      </c>
      <c r="K442" s="686"/>
      <c r="L442" s="687"/>
      <c r="M442" s="687"/>
      <c r="N442" s="687"/>
      <c r="O442" s="688"/>
      <c r="P442" s="422"/>
      <c r="Q442" s="333"/>
      <c r="R442" s="404">
        <v>0</v>
      </c>
      <c r="S442" s="97">
        <f t="shared" si="25"/>
        <v>0</v>
      </c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</row>
    <row r="443" spans="1:52" ht="12.75" customHeight="1" x14ac:dyDescent="0.25">
      <c r="A443" s="689"/>
      <c r="B443" s="690"/>
      <c r="C443" s="690"/>
      <c r="D443" s="690"/>
      <c r="E443" s="690"/>
      <c r="F443" s="691"/>
      <c r="G443" s="420"/>
      <c r="H443" s="332"/>
      <c r="I443" s="365">
        <v>0</v>
      </c>
      <c r="J443" s="97">
        <f t="shared" si="26"/>
        <v>0</v>
      </c>
      <c r="K443" s="686"/>
      <c r="L443" s="687"/>
      <c r="M443" s="687"/>
      <c r="N443" s="687"/>
      <c r="O443" s="688"/>
      <c r="P443" s="423"/>
      <c r="Q443" s="333"/>
      <c r="R443" s="404">
        <v>0</v>
      </c>
      <c r="S443" s="97">
        <f t="shared" si="25"/>
        <v>0</v>
      </c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</row>
    <row r="444" spans="1:52" ht="12.75" customHeight="1" x14ac:dyDescent="0.25">
      <c r="A444" s="689"/>
      <c r="B444" s="690"/>
      <c r="C444" s="690"/>
      <c r="D444" s="690"/>
      <c r="E444" s="690"/>
      <c r="F444" s="691"/>
      <c r="G444" s="420"/>
      <c r="H444" s="332"/>
      <c r="I444" s="365">
        <v>0</v>
      </c>
      <c r="J444" s="330">
        <f t="shared" si="26"/>
        <v>0</v>
      </c>
      <c r="K444" s="686"/>
      <c r="L444" s="687"/>
      <c r="M444" s="687"/>
      <c r="N444" s="687"/>
      <c r="O444" s="688"/>
      <c r="P444" s="422"/>
      <c r="Q444" s="333"/>
      <c r="R444" s="404">
        <v>0</v>
      </c>
      <c r="S444" s="97">
        <f t="shared" si="25"/>
        <v>0</v>
      </c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</row>
    <row r="445" spans="1:52" ht="12.75" customHeight="1" x14ac:dyDescent="0.25">
      <c r="A445" s="689"/>
      <c r="B445" s="690"/>
      <c r="C445" s="690"/>
      <c r="D445" s="690"/>
      <c r="E445" s="690"/>
      <c r="F445" s="691"/>
      <c r="G445" s="420"/>
      <c r="H445" s="332"/>
      <c r="I445" s="365">
        <v>0</v>
      </c>
      <c r="J445" s="97">
        <f t="shared" si="26"/>
        <v>0</v>
      </c>
      <c r="K445" s="686"/>
      <c r="L445" s="687"/>
      <c r="M445" s="687"/>
      <c r="N445" s="687"/>
      <c r="O445" s="688"/>
      <c r="P445" s="423"/>
      <c r="Q445" s="333"/>
      <c r="R445" s="404">
        <v>0</v>
      </c>
      <c r="S445" s="97">
        <f t="shared" si="25"/>
        <v>0</v>
      </c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</row>
    <row r="446" spans="1:52" ht="12.75" customHeight="1" x14ac:dyDescent="0.25">
      <c r="A446" s="689"/>
      <c r="B446" s="690"/>
      <c r="C446" s="690"/>
      <c r="D446" s="690"/>
      <c r="E446" s="690"/>
      <c r="F446" s="691"/>
      <c r="G446" s="420"/>
      <c r="H446" s="332"/>
      <c r="I446" s="365">
        <v>0</v>
      </c>
      <c r="J446" s="330">
        <f t="shared" si="26"/>
        <v>0</v>
      </c>
      <c r="K446" s="686"/>
      <c r="L446" s="687"/>
      <c r="M446" s="687"/>
      <c r="N446" s="687"/>
      <c r="O446" s="688"/>
      <c r="P446" s="422"/>
      <c r="Q446" s="333"/>
      <c r="R446" s="404">
        <v>0</v>
      </c>
      <c r="S446" s="97">
        <f t="shared" si="25"/>
        <v>0</v>
      </c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</row>
    <row r="447" spans="1:52" ht="12.75" customHeight="1" x14ac:dyDescent="0.25">
      <c r="A447" s="689"/>
      <c r="B447" s="690"/>
      <c r="C447" s="690"/>
      <c r="D447" s="690"/>
      <c r="E447" s="690"/>
      <c r="F447" s="691"/>
      <c r="G447" s="420"/>
      <c r="H447" s="332"/>
      <c r="I447" s="365">
        <v>0</v>
      </c>
      <c r="J447" s="97">
        <f t="shared" si="26"/>
        <v>0</v>
      </c>
      <c r="K447" s="686"/>
      <c r="L447" s="687"/>
      <c r="M447" s="687"/>
      <c r="N447" s="687"/>
      <c r="O447" s="688"/>
      <c r="P447" s="423"/>
      <c r="Q447" s="333"/>
      <c r="R447" s="404">
        <v>0</v>
      </c>
      <c r="S447" s="97">
        <f t="shared" si="25"/>
        <v>0</v>
      </c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</row>
    <row r="448" spans="1:52" ht="12.75" customHeight="1" x14ac:dyDescent="0.25">
      <c r="A448" s="689"/>
      <c r="B448" s="690"/>
      <c r="C448" s="690"/>
      <c r="D448" s="690"/>
      <c r="E448" s="690"/>
      <c r="F448" s="691"/>
      <c r="G448" s="420"/>
      <c r="H448" s="332"/>
      <c r="I448" s="365">
        <v>0</v>
      </c>
      <c r="J448" s="330">
        <f t="shared" si="26"/>
        <v>0</v>
      </c>
      <c r="K448" s="686"/>
      <c r="L448" s="687"/>
      <c r="M448" s="687"/>
      <c r="N448" s="687"/>
      <c r="O448" s="688"/>
      <c r="P448" s="422"/>
      <c r="Q448" s="333"/>
      <c r="R448" s="404">
        <v>0</v>
      </c>
      <c r="S448" s="97">
        <f t="shared" si="25"/>
        <v>0</v>
      </c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</row>
    <row r="449" spans="1:52" ht="12.75" customHeight="1" x14ac:dyDescent="0.25">
      <c r="A449" s="689"/>
      <c r="B449" s="690"/>
      <c r="C449" s="690"/>
      <c r="D449" s="690"/>
      <c r="E449" s="690"/>
      <c r="F449" s="691"/>
      <c r="G449" s="420"/>
      <c r="H449" s="332"/>
      <c r="I449" s="365">
        <v>0</v>
      </c>
      <c r="J449" s="97">
        <f t="shared" si="26"/>
        <v>0</v>
      </c>
      <c r="K449" s="686"/>
      <c r="L449" s="687"/>
      <c r="M449" s="687"/>
      <c r="N449" s="687"/>
      <c r="O449" s="688"/>
      <c r="P449" s="423"/>
      <c r="Q449" s="333"/>
      <c r="R449" s="404">
        <v>0</v>
      </c>
      <c r="S449" s="97">
        <f t="shared" si="25"/>
        <v>0</v>
      </c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</row>
    <row r="450" spans="1:52" ht="12.75" customHeight="1" x14ac:dyDescent="0.25">
      <c r="A450" s="689"/>
      <c r="B450" s="690"/>
      <c r="C450" s="690"/>
      <c r="D450" s="690"/>
      <c r="E450" s="690"/>
      <c r="F450" s="691"/>
      <c r="G450" s="420"/>
      <c r="H450" s="332"/>
      <c r="I450" s="365">
        <v>0</v>
      </c>
      <c r="J450" s="330">
        <f t="shared" si="26"/>
        <v>0</v>
      </c>
      <c r="K450" s="686"/>
      <c r="L450" s="687"/>
      <c r="M450" s="687"/>
      <c r="N450" s="687"/>
      <c r="O450" s="688"/>
      <c r="P450" s="422"/>
      <c r="Q450" s="333"/>
      <c r="R450" s="404">
        <v>0</v>
      </c>
      <c r="S450" s="97">
        <f t="shared" si="25"/>
        <v>0</v>
      </c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</row>
    <row r="451" spans="1:52" ht="12.75" customHeight="1" x14ac:dyDescent="0.25">
      <c r="A451" s="689"/>
      <c r="B451" s="690"/>
      <c r="C451" s="690"/>
      <c r="D451" s="690"/>
      <c r="E451" s="690"/>
      <c r="F451" s="691"/>
      <c r="G451" s="420"/>
      <c r="H451" s="332"/>
      <c r="I451" s="365">
        <v>0</v>
      </c>
      <c r="J451" s="97">
        <f t="shared" si="26"/>
        <v>0</v>
      </c>
      <c r="K451" s="686"/>
      <c r="L451" s="687"/>
      <c r="M451" s="687"/>
      <c r="N451" s="687"/>
      <c r="O451" s="688"/>
      <c r="P451" s="424"/>
      <c r="Q451" s="333"/>
      <c r="R451" s="404">
        <v>0</v>
      </c>
      <c r="S451" s="97">
        <f t="shared" si="25"/>
        <v>0</v>
      </c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</row>
    <row r="452" spans="1:52" ht="12.75" customHeight="1" thickBot="1" x14ac:dyDescent="0.35">
      <c r="A452" s="639"/>
      <c r="B452" s="109"/>
      <c r="C452" s="109"/>
      <c r="D452" s="109"/>
      <c r="E452" s="109"/>
      <c r="F452" s="109"/>
      <c r="G452" s="109"/>
      <c r="H452" s="109"/>
      <c r="I452" s="157" t="s">
        <v>0</v>
      </c>
      <c r="J452" s="679">
        <f>SUM(J418:J451)</f>
        <v>0</v>
      </c>
      <c r="K452" s="158"/>
      <c r="L452" s="158"/>
      <c r="M452" s="158"/>
      <c r="N452" s="158"/>
      <c r="O452" s="158"/>
      <c r="P452" s="158"/>
      <c r="Q452" s="158"/>
      <c r="R452" s="157" t="s">
        <v>0</v>
      </c>
      <c r="S452" s="681">
        <f>SUM(S418:S451)</f>
        <v>0</v>
      </c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</row>
    <row r="453" spans="1:52" ht="12.75" customHeight="1" x14ac:dyDescent="0.25">
      <c r="A453" s="63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4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</row>
    <row r="454" spans="1:52" ht="12.75" customHeight="1" thickBot="1" x14ac:dyDescent="0.35">
      <c r="A454" s="642"/>
      <c r="B454" s="460"/>
      <c r="C454" s="460"/>
      <c r="D454" s="460"/>
      <c r="E454" s="460"/>
      <c r="F454" s="460"/>
      <c r="G454" s="460"/>
      <c r="H454" s="460"/>
      <c r="I454" s="460"/>
      <c r="J454" s="460"/>
      <c r="K454" s="460"/>
      <c r="L454" s="460"/>
      <c r="M454" s="460"/>
      <c r="N454" s="460"/>
      <c r="O454" s="460"/>
      <c r="P454" s="643" t="s">
        <v>220</v>
      </c>
      <c r="Q454" s="643" t="s">
        <v>0</v>
      </c>
      <c r="R454" s="659">
        <f>SUM(J452+S452)</f>
        <v>0</v>
      </c>
      <c r="S454" s="644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</row>
    <row r="455" spans="1:52" ht="12.75" customHeight="1" x14ac:dyDescent="0.65">
      <c r="H455" s="15"/>
      <c r="I455" s="15"/>
      <c r="M455" s="59"/>
      <c r="N455" s="59"/>
      <c r="O455" s="88"/>
      <c r="P455" s="89"/>
      <c r="Q455" s="89"/>
      <c r="R455" s="528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</row>
    <row r="456" spans="1:52" ht="5.5" customHeight="1" x14ac:dyDescent="0.65">
      <c r="H456" s="15"/>
      <c r="I456" s="15"/>
      <c r="M456" s="59"/>
      <c r="N456" s="59"/>
      <c r="O456" s="88"/>
      <c r="P456" s="89"/>
      <c r="Q456" s="89"/>
      <c r="R456" s="528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</row>
    <row r="457" spans="1:52" ht="5.5" customHeight="1" x14ac:dyDescent="0.65">
      <c r="H457" s="15"/>
      <c r="I457" s="15"/>
      <c r="M457" s="59"/>
      <c r="N457" s="59"/>
      <c r="O457" s="88"/>
      <c r="P457" s="89"/>
      <c r="Q457" s="89"/>
      <c r="R457" s="528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</row>
    <row r="458" spans="1:52" ht="5.5" customHeight="1" x14ac:dyDescent="0.65"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</row>
    <row r="459" spans="1:52" ht="2.5" hidden="1" customHeight="1" thickBot="1" x14ac:dyDescent="0.7"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</row>
    <row r="460" spans="1:52" ht="2.5" customHeight="1" x14ac:dyDescent="0.65"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</row>
    <row r="461" spans="1:52" ht="17.25" customHeight="1" x14ac:dyDescent="0.65">
      <c r="J461" s="325" t="s">
        <v>234</v>
      </c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</row>
    <row r="462" spans="1:52" ht="13" x14ac:dyDescent="0.3">
      <c r="A462" s="59" t="s">
        <v>394</v>
      </c>
      <c r="G462" s="4" t="s">
        <v>224</v>
      </c>
      <c r="H462" s="82" t="s">
        <v>223</v>
      </c>
      <c r="I462" s="16" t="s">
        <v>250</v>
      </c>
      <c r="J462" s="16" t="s">
        <v>0</v>
      </c>
      <c r="K462" s="150" t="s">
        <v>394</v>
      </c>
      <c r="L462" s="150"/>
      <c r="M462" s="150"/>
      <c r="N462" s="150"/>
      <c r="O462" s="59"/>
      <c r="P462" s="81" t="s">
        <v>224</v>
      </c>
      <c r="Q462" s="16" t="s">
        <v>225</v>
      </c>
      <c r="R462" s="16" t="s">
        <v>250</v>
      </c>
      <c r="S462" s="15" t="s">
        <v>0</v>
      </c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</row>
    <row r="463" spans="1:52" ht="12.5" x14ac:dyDescent="0.25">
      <c r="A463" s="689"/>
      <c r="B463" s="690"/>
      <c r="C463" s="690"/>
      <c r="D463" s="690"/>
      <c r="E463" s="690"/>
      <c r="F463" s="691"/>
      <c r="G463" s="420"/>
      <c r="H463" s="331"/>
      <c r="I463" s="364">
        <v>0</v>
      </c>
      <c r="J463" s="330">
        <f>SUM(G463*H463*I463%)</f>
        <v>0</v>
      </c>
      <c r="K463" s="686"/>
      <c r="L463" s="687"/>
      <c r="M463" s="687"/>
      <c r="N463" s="687"/>
      <c r="O463" s="688"/>
      <c r="P463" s="421"/>
      <c r="Q463" s="337"/>
      <c r="R463" s="403">
        <v>0</v>
      </c>
      <c r="S463" s="97">
        <f t="shared" ref="S463:S496" si="27">SUM(Q463*R463%*P463)</f>
        <v>0</v>
      </c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</row>
    <row r="464" spans="1:52" ht="12.5" x14ac:dyDescent="0.25">
      <c r="A464" s="689"/>
      <c r="B464" s="690"/>
      <c r="C464" s="690"/>
      <c r="D464" s="690"/>
      <c r="E464" s="690"/>
      <c r="F464" s="691"/>
      <c r="G464" s="420"/>
      <c r="H464" s="332"/>
      <c r="I464" s="365">
        <v>0</v>
      </c>
      <c r="J464" s="97">
        <f>SUM(G464*H464*I464%)</f>
        <v>0</v>
      </c>
      <c r="K464" s="686"/>
      <c r="L464" s="687"/>
      <c r="M464" s="687"/>
      <c r="N464" s="687"/>
      <c r="O464" s="688"/>
      <c r="P464" s="422"/>
      <c r="Q464" s="333"/>
      <c r="R464" s="404">
        <v>0</v>
      </c>
      <c r="S464" s="97">
        <f t="shared" si="27"/>
        <v>0</v>
      </c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</row>
    <row r="465" spans="1:52" ht="12.5" x14ac:dyDescent="0.25">
      <c r="A465" s="689"/>
      <c r="B465" s="690"/>
      <c r="C465" s="690"/>
      <c r="D465" s="690"/>
      <c r="E465" s="690"/>
      <c r="F465" s="691"/>
      <c r="G465" s="420"/>
      <c r="H465" s="332"/>
      <c r="I465" s="365">
        <v>0</v>
      </c>
      <c r="J465" s="330">
        <f t="shared" ref="J465:J496" si="28">SUM(G465*H465*I465%)</f>
        <v>0</v>
      </c>
      <c r="K465" s="686"/>
      <c r="L465" s="687"/>
      <c r="M465" s="687"/>
      <c r="N465" s="687"/>
      <c r="O465" s="688"/>
      <c r="P465" s="423"/>
      <c r="Q465" s="333"/>
      <c r="R465" s="404">
        <v>0</v>
      </c>
      <c r="S465" s="97">
        <f t="shared" si="27"/>
        <v>0</v>
      </c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</row>
    <row r="466" spans="1:52" ht="12.5" x14ac:dyDescent="0.25">
      <c r="A466" s="689"/>
      <c r="B466" s="690"/>
      <c r="C466" s="690"/>
      <c r="D466" s="690"/>
      <c r="E466" s="690"/>
      <c r="F466" s="691"/>
      <c r="G466" s="420"/>
      <c r="H466" s="332"/>
      <c r="I466" s="365">
        <v>0</v>
      </c>
      <c r="J466" s="97">
        <f t="shared" si="28"/>
        <v>0</v>
      </c>
      <c r="K466" s="686"/>
      <c r="L466" s="687"/>
      <c r="M466" s="687"/>
      <c r="N466" s="687"/>
      <c r="O466" s="688"/>
      <c r="P466" s="422"/>
      <c r="Q466" s="333"/>
      <c r="R466" s="404">
        <v>0</v>
      </c>
      <c r="S466" s="97">
        <f t="shared" si="27"/>
        <v>0</v>
      </c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</row>
    <row r="467" spans="1:52" ht="12.5" x14ac:dyDescent="0.25">
      <c r="A467" s="689"/>
      <c r="B467" s="690"/>
      <c r="C467" s="690"/>
      <c r="D467" s="690"/>
      <c r="E467" s="690"/>
      <c r="F467" s="691"/>
      <c r="G467" s="420"/>
      <c r="H467" s="332"/>
      <c r="I467" s="365">
        <v>0</v>
      </c>
      <c r="J467" s="330">
        <f t="shared" si="28"/>
        <v>0</v>
      </c>
      <c r="K467" s="686"/>
      <c r="L467" s="687"/>
      <c r="M467" s="687"/>
      <c r="N467" s="687"/>
      <c r="O467" s="688"/>
      <c r="P467" s="423"/>
      <c r="Q467" s="333"/>
      <c r="R467" s="404">
        <v>0</v>
      </c>
      <c r="S467" s="97">
        <f t="shared" si="27"/>
        <v>0</v>
      </c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</row>
    <row r="468" spans="1:52" ht="12.5" x14ac:dyDescent="0.25">
      <c r="A468" s="689"/>
      <c r="B468" s="690"/>
      <c r="C468" s="690"/>
      <c r="D468" s="690"/>
      <c r="E468" s="690"/>
      <c r="F468" s="691"/>
      <c r="G468" s="420"/>
      <c r="H468" s="332"/>
      <c r="I468" s="365">
        <v>0</v>
      </c>
      <c r="J468" s="97">
        <f t="shared" si="28"/>
        <v>0</v>
      </c>
      <c r="K468" s="686"/>
      <c r="L468" s="687"/>
      <c r="M468" s="687"/>
      <c r="N468" s="687"/>
      <c r="O468" s="688"/>
      <c r="P468" s="422"/>
      <c r="Q468" s="333"/>
      <c r="R468" s="404">
        <v>0</v>
      </c>
      <c r="S468" s="97">
        <f t="shared" si="27"/>
        <v>0</v>
      </c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</row>
    <row r="469" spans="1:52" ht="12.5" x14ac:dyDescent="0.25">
      <c r="A469" s="689"/>
      <c r="B469" s="690"/>
      <c r="C469" s="690"/>
      <c r="D469" s="690"/>
      <c r="E469" s="690"/>
      <c r="F469" s="691"/>
      <c r="G469" s="420"/>
      <c r="H469" s="332"/>
      <c r="I469" s="365">
        <v>0</v>
      </c>
      <c r="J469" s="330">
        <f t="shared" si="28"/>
        <v>0</v>
      </c>
      <c r="K469" s="686"/>
      <c r="L469" s="687"/>
      <c r="M469" s="687"/>
      <c r="N469" s="687"/>
      <c r="O469" s="688"/>
      <c r="P469" s="423"/>
      <c r="Q469" s="333"/>
      <c r="R469" s="404">
        <v>0</v>
      </c>
      <c r="S469" s="97">
        <f t="shared" si="27"/>
        <v>0</v>
      </c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</row>
    <row r="470" spans="1:52" ht="12.5" x14ac:dyDescent="0.25">
      <c r="A470" s="689"/>
      <c r="B470" s="690"/>
      <c r="C470" s="690"/>
      <c r="D470" s="690"/>
      <c r="E470" s="690"/>
      <c r="F470" s="691"/>
      <c r="G470" s="420"/>
      <c r="H470" s="332"/>
      <c r="I470" s="365">
        <v>0</v>
      </c>
      <c r="J470" s="97">
        <f t="shared" si="28"/>
        <v>0</v>
      </c>
      <c r="K470" s="686"/>
      <c r="L470" s="687"/>
      <c r="M470" s="687"/>
      <c r="N470" s="687"/>
      <c r="O470" s="688"/>
      <c r="P470" s="422"/>
      <c r="Q470" s="333"/>
      <c r="R470" s="404">
        <v>0</v>
      </c>
      <c r="S470" s="97">
        <f t="shared" si="27"/>
        <v>0</v>
      </c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</row>
    <row r="471" spans="1:52" ht="12.5" x14ac:dyDescent="0.25">
      <c r="A471" s="689"/>
      <c r="B471" s="690"/>
      <c r="C471" s="690"/>
      <c r="D471" s="690"/>
      <c r="E471" s="690"/>
      <c r="F471" s="691"/>
      <c r="G471" s="420"/>
      <c r="H471" s="332"/>
      <c r="I471" s="365">
        <v>0</v>
      </c>
      <c r="J471" s="330">
        <f t="shared" si="28"/>
        <v>0</v>
      </c>
      <c r="K471" s="686"/>
      <c r="L471" s="687"/>
      <c r="M471" s="687"/>
      <c r="N471" s="687"/>
      <c r="O471" s="688"/>
      <c r="P471" s="423"/>
      <c r="Q471" s="333"/>
      <c r="R471" s="404">
        <v>0</v>
      </c>
      <c r="S471" s="97">
        <f t="shared" si="27"/>
        <v>0</v>
      </c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</row>
    <row r="472" spans="1:52" ht="12.5" x14ac:dyDescent="0.25">
      <c r="A472" s="689"/>
      <c r="B472" s="690"/>
      <c r="C472" s="690"/>
      <c r="D472" s="690"/>
      <c r="E472" s="690"/>
      <c r="F472" s="691"/>
      <c r="G472" s="420"/>
      <c r="H472" s="332"/>
      <c r="I472" s="365">
        <v>0</v>
      </c>
      <c r="J472" s="97">
        <f t="shared" si="28"/>
        <v>0</v>
      </c>
      <c r="K472" s="686"/>
      <c r="L472" s="687"/>
      <c r="M472" s="687"/>
      <c r="N472" s="687"/>
      <c r="O472" s="688"/>
      <c r="P472" s="422"/>
      <c r="Q472" s="333"/>
      <c r="R472" s="404">
        <v>0</v>
      </c>
      <c r="S472" s="97">
        <f t="shared" si="27"/>
        <v>0</v>
      </c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</row>
    <row r="473" spans="1:52" ht="12.5" x14ac:dyDescent="0.25">
      <c r="A473" s="689"/>
      <c r="B473" s="690"/>
      <c r="C473" s="690"/>
      <c r="D473" s="690"/>
      <c r="E473" s="690"/>
      <c r="F473" s="691"/>
      <c r="G473" s="420"/>
      <c r="H473" s="332"/>
      <c r="I473" s="365">
        <v>0</v>
      </c>
      <c r="J473" s="330">
        <f t="shared" si="28"/>
        <v>0</v>
      </c>
      <c r="K473" s="686"/>
      <c r="L473" s="687"/>
      <c r="M473" s="687"/>
      <c r="N473" s="687"/>
      <c r="O473" s="688"/>
      <c r="P473" s="423"/>
      <c r="Q473" s="333"/>
      <c r="R473" s="404">
        <v>0</v>
      </c>
      <c r="S473" s="97">
        <f t="shared" si="27"/>
        <v>0</v>
      </c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</row>
    <row r="474" spans="1:52" ht="12.5" x14ac:dyDescent="0.25">
      <c r="A474" s="689"/>
      <c r="B474" s="690"/>
      <c r="C474" s="690"/>
      <c r="D474" s="690"/>
      <c r="E474" s="690"/>
      <c r="F474" s="691"/>
      <c r="G474" s="420"/>
      <c r="H474" s="332"/>
      <c r="I474" s="365">
        <v>0</v>
      </c>
      <c r="J474" s="97">
        <f t="shared" si="28"/>
        <v>0</v>
      </c>
      <c r="K474" s="686"/>
      <c r="L474" s="687"/>
      <c r="M474" s="687"/>
      <c r="N474" s="687"/>
      <c r="O474" s="688"/>
      <c r="P474" s="422"/>
      <c r="Q474" s="333"/>
      <c r="R474" s="404">
        <v>0</v>
      </c>
      <c r="S474" s="97">
        <f t="shared" si="27"/>
        <v>0</v>
      </c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</row>
    <row r="475" spans="1:52" ht="12.5" x14ac:dyDescent="0.25">
      <c r="A475" s="689"/>
      <c r="B475" s="690"/>
      <c r="C475" s="690"/>
      <c r="D475" s="690"/>
      <c r="E475" s="690"/>
      <c r="F475" s="691"/>
      <c r="G475" s="420"/>
      <c r="H475" s="332"/>
      <c r="I475" s="365">
        <v>0</v>
      </c>
      <c r="J475" s="330">
        <f t="shared" si="28"/>
        <v>0</v>
      </c>
      <c r="K475" s="686"/>
      <c r="L475" s="687"/>
      <c r="M475" s="687"/>
      <c r="N475" s="687"/>
      <c r="O475" s="688"/>
      <c r="P475" s="423"/>
      <c r="Q475" s="333"/>
      <c r="R475" s="404">
        <v>0</v>
      </c>
      <c r="S475" s="97">
        <f t="shared" si="27"/>
        <v>0</v>
      </c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</row>
    <row r="476" spans="1:52" ht="12.5" x14ac:dyDescent="0.25">
      <c r="A476" s="689"/>
      <c r="B476" s="690"/>
      <c r="C476" s="690"/>
      <c r="D476" s="690"/>
      <c r="E476" s="690"/>
      <c r="F476" s="691"/>
      <c r="G476" s="420"/>
      <c r="H476" s="332"/>
      <c r="I476" s="365">
        <v>0</v>
      </c>
      <c r="J476" s="97">
        <f t="shared" si="28"/>
        <v>0</v>
      </c>
      <c r="K476" s="686"/>
      <c r="L476" s="687"/>
      <c r="M476" s="687"/>
      <c r="N476" s="687"/>
      <c r="O476" s="688"/>
      <c r="P476" s="422"/>
      <c r="Q476" s="333"/>
      <c r="R476" s="404">
        <v>0</v>
      </c>
      <c r="S476" s="97">
        <f t="shared" si="27"/>
        <v>0</v>
      </c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</row>
    <row r="477" spans="1:52" ht="12.5" x14ac:dyDescent="0.25">
      <c r="A477" s="689"/>
      <c r="B477" s="690"/>
      <c r="C477" s="690"/>
      <c r="D477" s="690"/>
      <c r="E477" s="690"/>
      <c r="F477" s="691"/>
      <c r="G477" s="420"/>
      <c r="H477" s="332"/>
      <c r="I477" s="365">
        <v>0</v>
      </c>
      <c r="J477" s="330">
        <f t="shared" si="28"/>
        <v>0</v>
      </c>
      <c r="K477" s="686"/>
      <c r="L477" s="687"/>
      <c r="M477" s="687"/>
      <c r="N477" s="687"/>
      <c r="O477" s="688"/>
      <c r="P477" s="423"/>
      <c r="Q477" s="333"/>
      <c r="R477" s="404">
        <v>0</v>
      </c>
      <c r="S477" s="97">
        <f t="shared" si="27"/>
        <v>0</v>
      </c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</row>
    <row r="478" spans="1:52" ht="12.5" x14ac:dyDescent="0.25">
      <c r="A478" s="689"/>
      <c r="B478" s="690"/>
      <c r="C478" s="690"/>
      <c r="D478" s="690"/>
      <c r="E478" s="690"/>
      <c r="F478" s="691"/>
      <c r="G478" s="420"/>
      <c r="H478" s="332"/>
      <c r="I478" s="365">
        <v>0</v>
      </c>
      <c r="J478" s="97">
        <f t="shared" si="28"/>
        <v>0</v>
      </c>
      <c r="K478" s="686"/>
      <c r="L478" s="687"/>
      <c r="M478" s="687"/>
      <c r="N478" s="687"/>
      <c r="O478" s="688"/>
      <c r="P478" s="422"/>
      <c r="Q478" s="333"/>
      <c r="R478" s="404">
        <v>0</v>
      </c>
      <c r="S478" s="97">
        <f t="shared" si="27"/>
        <v>0</v>
      </c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</row>
    <row r="479" spans="1:52" ht="12.5" x14ac:dyDescent="0.25">
      <c r="A479" s="689"/>
      <c r="B479" s="690"/>
      <c r="C479" s="690"/>
      <c r="D479" s="690"/>
      <c r="E479" s="690"/>
      <c r="F479" s="691"/>
      <c r="G479" s="420"/>
      <c r="H479" s="332"/>
      <c r="I479" s="365">
        <v>0</v>
      </c>
      <c r="J479" s="330">
        <f t="shared" si="28"/>
        <v>0</v>
      </c>
      <c r="K479" s="686"/>
      <c r="L479" s="687"/>
      <c r="M479" s="687"/>
      <c r="N479" s="687"/>
      <c r="O479" s="688"/>
      <c r="P479" s="424"/>
      <c r="Q479" s="333"/>
      <c r="R479" s="404">
        <v>0</v>
      </c>
      <c r="S479" s="97">
        <f t="shared" si="27"/>
        <v>0</v>
      </c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</row>
    <row r="480" spans="1:52" ht="12.5" x14ac:dyDescent="0.25">
      <c r="A480" s="689"/>
      <c r="B480" s="690"/>
      <c r="C480" s="690"/>
      <c r="D480" s="690"/>
      <c r="E480" s="690"/>
      <c r="F480" s="691"/>
      <c r="G480" s="420"/>
      <c r="H480" s="331"/>
      <c r="I480" s="364">
        <v>0</v>
      </c>
      <c r="J480" s="97">
        <f t="shared" si="28"/>
        <v>0</v>
      </c>
      <c r="K480" s="686"/>
      <c r="L480" s="687"/>
      <c r="M480" s="687"/>
      <c r="N480" s="687"/>
      <c r="O480" s="688"/>
      <c r="P480" s="421"/>
      <c r="Q480" s="337"/>
      <c r="R480" s="403">
        <v>0</v>
      </c>
      <c r="S480" s="97">
        <f t="shared" si="27"/>
        <v>0</v>
      </c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</row>
    <row r="481" spans="1:52" ht="12.5" x14ac:dyDescent="0.25">
      <c r="A481" s="689"/>
      <c r="B481" s="690"/>
      <c r="C481" s="690"/>
      <c r="D481" s="690"/>
      <c r="E481" s="690"/>
      <c r="F481" s="691"/>
      <c r="G481" s="420"/>
      <c r="H481" s="332"/>
      <c r="I481" s="365">
        <v>0</v>
      </c>
      <c r="J481" s="330">
        <f t="shared" si="28"/>
        <v>0</v>
      </c>
      <c r="K481" s="686"/>
      <c r="L481" s="687"/>
      <c r="M481" s="687"/>
      <c r="N481" s="687"/>
      <c r="O481" s="688"/>
      <c r="P481" s="422"/>
      <c r="Q481" s="333"/>
      <c r="R481" s="404">
        <v>0</v>
      </c>
      <c r="S481" s="97">
        <f t="shared" si="27"/>
        <v>0</v>
      </c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</row>
    <row r="482" spans="1:52" ht="12.5" x14ac:dyDescent="0.25">
      <c r="A482" s="689"/>
      <c r="B482" s="690"/>
      <c r="C482" s="690"/>
      <c r="D482" s="690"/>
      <c r="E482" s="690"/>
      <c r="F482" s="691"/>
      <c r="G482" s="420"/>
      <c r="H482" s="332"/>
      <c r="I482" s="365">
        <v>0</v>
      </c>
      <c r="J482" s="97">
        <f t="shared" si="28"/>
        <v>0</v>
      </c>
      <c r="K482" s="686"/>
      <c r="L482" s="687"/>
      <c r="M482" s="687"/>
      <c r="N482" s="687"/>
      <c r="O482" s="688"/>
      <c r="P482" s="423"/>
      <c r="Q482" s="333"/>
      <c r="R482" s="404">
        <v>0</v>
      </c>
      <c r="S482" s="97">
        <f t="shared" si="27"/>
        <v>0</v>
      </c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</row>
    <row r="483" spans="1:52" ht="12.5" x14ac:dyDescent="0.25">
      <c r="A483" s="689"/>
      <c r="B483" s="690"/>
      <c r="C483" s="690"/>
      <c r="D483" s="690"/>
      <c r="E483" s="690"/>
      <c r="F483" s="691"/>
      <c r="G483" s="420"/>
      <c r="H483" s="332"/>
      <c r="I483" s="365">
        <v>0</v>
      </c>
      <c r="J483" s="330">
        <f t="shared" si="28"/>
        <v>0</v>
      </c>
      <c r="K483" s="686"/>
      <c r="L483" s="687"/>
      <c r="M483" s="687"/>
      <c r="N483" s="687"/>
      <c r="O483" s="688"/>
      <c r="P483" s="422"/>
      <c r="Q483" s="333"/>
      <c r="R483" s="404">
        <v>0</v>
      </c>
      <c r="S483" s="97">
        <f t="shared" si="27"/>
        <v>0</v>
      </c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</row>
    <row r="484" spans="1:52" ht="12.5" x14ac:dyDescent="0.25">
      <c r="A484" s="689"/>
      <c r="B484" s="690"/>
      <c r="C484" s="690"/>
      <c r="D484" s="690"/>
      <c r="E484" s="690"/>
      <c r="F484" s="691"/>
      <c r="G484" s="420"/>
      <c r="H484" s="332"/>
      <c r="I484" s="365">
        <v>0</v>
      </c>
      <c r="J484" s="97">
        <f t="shared" si="28"/>
        <v>0</v>
      </c>
      <c r="K484" s="686"/>
      <c r="L484" s="687"/>
      <c r="M484" s="687"/>
      <c r="N484" s="687"/>
      <c r="O484" s="688"/>
      <c r="P484" s="423"/>
      <c r="Q484" s="333"/>
      <c r="R484" s="404">
        <v>0</v>
      </c>
      <c r="S484" s="97">
        <f t="shared" si="27"/>
        <v>0</v>
      </c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</row>
    <row r="485" spans="1:52" ht="12.5" x14ac:dyDescent="0.25">
      <c r="A485" s="689"/>
      <c r="B485" s="690"/>
      <c r="C485" s="690"/>
      <c r="D485" s="690"/>
      <c r="E485" s="690"/>
      <c r="F485" s="691"/>
      <c r="G485" s="420"/>
      <c r="H485" s="332"/>
      <c r="I485" s="365">
        <v>0</v>
      </c>
      <c r="J485" s="330">
        <f t="shared" si="28"/>
        <v>0</v>
      </c>
      <c r="K485" s="686"/>
      <c r="L485" s="687"/>
      <c r="M485" s="687"/>
      <c r="N485" s="687"/>
      <c r="O485" s="688"/>
      <c r="P485" s="422"/>
      <c r="Q485" s="333"/>
      <c r="R485" s="404">
        <v>0</v>
      </c>
      <c r="S485" s="97">
        <f t="shared" si="27"/>
        <v>0</v>
      </c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</row>
    <row r="486" spans="1:52" ht="12.5" x14ac:dyDescent="0.25">
      <c r="A486" s="689"/>
      <c r="B486" s="690"/>
      <c r="C486" s="690"/>
      <c r="D486" s="690"/>
      <c r="E486" s="690"/>
      <c r="F486" s="691"/>
      <c r="G486" s="420"/>
      <c r="H486" s="332"/>
      <c r="I486" s="365">
        <v>0</v>
      </c>
      <c r="J486" s="97">
        <f t="shared" si="28"/>
        <v>0</v>
      </c>
      <c r="K486" s="686"/>
      <c r="L486" s="687"/>
      <c r="M486" s="687"/>
      <c r="N486" s="687"/>
      <c r="O486" s="688"/>
      <c r="P486" s="423"/>
      <c r="Q486" s="333"/>
      <c r="R486" s="404">
        <v>0</v>
      </c>
      <c r="S486" s="97">
        <f t="shared" si="27"/>
        <v>0</v>
      </c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</row>
    <row r="487" spans="1:52" ht="12.5" x14ac:dyDescent="0.25">
      <c r="A487" s="689"/>
      <c r="B487" s="690"/>
      <c r="C487" s="690"/>
      <c r="D487" s="690"/>
      <c r="E487" s="690"/>
      <c r="F487" s="691"/>
      <c r="G487" s="420"/>
      <c r="H487" s="332"/>
      <c r="I487" s="365">
        <v>0</v>
      </c>
      <c r="J487" s="330">
        <f t="shared" si="28"/>
        <v>0</v>
      </c>
      <c r="K487" s="686"/>
      <c r="L487" s="687"/>
      <c r="M487" s="687"/>
      <c r="N487" s="687"/>
      <c r="O487" s="688"/>
      <c r="P487" s="422"/>
      <c r="Q487" s="333"/>
      <c r="R487" s="404">
        <v>0</v>
      </c>
      <c r="S487" s="97">
        <f t="shared" si="27"/>
        <v>0</v>
      </c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</row>
    <row r="488" spans="1:52" ht="12.5" x14ac:dyDescent="0.25">
      <c r="A488" s="689"/>
      <c r="B488" s="690"/>
      <c r="C488" s="690"/>
      <c r="D488" s="690"/>
      <c r="E488" s="690"/>
      <c r="F488" s="691"/>
      <c r="G488" s="420"/>
      <c r="H488" s="332"/>
      <c r="I488" s="365">
        <v>0</v>
      </c>
      <c r="J488" s="97">
        <f t="shared" si="28"/>
        <v>0</v>
      </c>
      <c r="K488" s="686"/>
      <c r="L488" s="687"/>
      <c r="M488" s="687"/>
      <c r="N488" s="687"/>
      <c r="O488" s="688"/>
      <c r="P488" s="423"/>
      <c r="Q488" s="333"/>
      <c r="R488" s="404">
        <v>0</v>
      </c>
      <c r="S488" s="97">
        <f t="shared" si="27"/>
        <v>0</v>
      </c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</row>
    <row r="489" spans="1:52" ht="12.5" x14ac:dyDescent="0.25">
      <c r="A489" s="689"/>
      <c r="B489" s="690"/>
      <c r="C489" s="690"/>
      <c r="D489" s="690"/>
      <c r="E489" s="690"/>
      <c r="F489" s="691"/>
      <c r="G489" s="420"/>
      <c r="H489" s="332"/>
      <c r="I489" s="365">
        <v>0</v>
      </c>
      <c r="J489" s="330">
        <f t="shared" si="28"/>
        <v>0</v>
      </c>
      <c r="K489" s="686"/>
      <c r="L489" s="687"/>
      <c r="M489" s="687"/>
      <c r="N489" s="687"/>
      <c r="O489" s="688"/>
      <c r="P489" s="422"/>
      <c r="Q489" s="333"/>
      <c r="R489" s="404">
        <v>0</v>
      </c>
      <c r="S489" s="97">
        <f t="shared" si="27"/>
        <v>0</v>
      </c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</row>
    <row r="490" spans="1:52" ht="12.5" x14ac:dyDescent="0.25">
      <c r="A490" s="689"/>
      <c r="B490" s="690"/>
      <c r="C490" s="690"/>
      <c r="D490" s="690"/>
      <c r="E490" s="690"/>
      <c r="F490" s="691"/>
      <c r="G490" s="420"/>
      <c r="H490" s="332"/>
      <c r="I490" s="365">
        <v>0</v>
      </c>
      <c r="J490" s="97">
        <f t="shared" si="28"/>
        <v>0</v>
      </c>
      <c r="K490" s="686"/>
      <c r="L490" s="687"/>
      <c r="M490" s="687"/>
      <c r="N490" s="687"/>
      <c r="O490" s="688"/>
      <c r="P490" s="423"/>
      <c r="Q490" s="333"/>
      <c r="R490" s="404">
        <v>0</v>
      </c>
      <c r="S490" s="97">
        <f t="shared" si="27"/>
        <v>0</v>
      </c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</row>
    <row r="491" spans="1:52" ht="12.5" x14ac:dyDescent="0.25">
      <c r="A491" s="689"/>
      <c r="B491" s="690"/>
      <c r="C491" s="690"/>
      <c r="D491" s="690"/>
      <c r="E491" s="690"/>
      <c r="F491" s="691"/>
      <c r="G491" s="420"/>
      <c r="H491" s="332"/>
      <c r="I491" s="365">
        <v>0</v>
      </c>
      <c r="J491" s="330">
        <f t="shared" si="28"/>
        <v>0</v>
      </c>
      <c r="K491" s="686"/>
      <c r="L491" s="687"/>
      <c r="M491" s="687"/>
      <c r="N491" s="687"/>
      <c r="O491" s="688"/>
      <c r="P491" s="422"/>
      <c r="Q491" s="333"/>
      <c r="R491" s="404">
        <v>0</v>
      </c>
      <c r="S491" s="97">
        <f t="shared" si="27"/>
        <v>0</v>
      </c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</row>
    <row r="492" spans="1:52" ht="12.5" x14ac:dyDescent="0.25">
      <c r="A492" s="689"/>
      <c r="B492" s="690"/>
      <c r="C492" s="690"/>
      <c r="D492" s="690"/>
      <c r="E492" s="690"/>
      <c r="F492" s="691"/>
      <c r="G492" s="420"/>
      <c r="H492" s="332"/>
      <c r="I492" s="365">
        <v>0</v>
      </c>
      <c r="J492" s="97">
        <f t="shared" si="28"/>
        <v>0</v>
      </c>
      <c r="K492" s="686"/>
      <c r="L492" s="687"/>
      <c r="M492" s="687"/>
      <c r="N492" s="687"/>
      <c r="O492" s="688"/>
      <c r="P492" s="423"/>
      <c r="Q492" s="333"/>
      <c r="R492" s="404">
        <v>0</v>
      </c>
      <c r="S492" s="97">
        <f t="shared" si="27"/>
        <v>0</v>
      </c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</row>
    <row r="493" spans="1:52" ht="12.5" x14ac:dyDescent="0.25">
      <c r="A493" s="689"/>
      <c r="B493" s="690"/>
      <c r="C493" s="690"/>
      <c r="D493" s="690"/>
      <c r="E493" s="690"/>
      <c r="F493" s="691"/>
      <c r="G493" s="420"/>
      <c r="H493" s="332"/>
      <c r="I493" s="365">
        <v>0</v>
      </c>
      <c r="J493" s="330">
        <f t="shared" si="28"/>
        <v>0</v>
      </c>
      <c r="K493" s="686"/>
      <c r="L493" s="687"/>
      <c r="M493" s="687"/>
      <c r="N493" s="687"/>
      <c r="O493" s="688"/>
      <c r="P493" s="422"/>
      <c r="Q493" s="333"/>
      <c r="R493" s="404">
        <v>0</v>
      </c>
      <c r="S493" s="97">
        <f t="shared" si="27"/>
        <v>0</v>
      </c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</row>
    <row r="494" spans="1:52" ht="12.5" x14ac:dyDescent="0.25">
      <c r="A494" s="689"/>
      <c r="B494" s="690"/>
      <c r="C494" s="690"/>
      <c r="D494" s="690"/>
      <c r="E494" s="690"/>
      <c r="F494" s="691"/>
      <c r="G494" s="420"/>
      <c r="H494" s="332"/>
      <c r="I494" s="365">
        <v>0</v>
      </c>
      <c r="J494" s="97">
        <f t="shared" si="28"/>
        <v>0</v>
      </c>
      <c r="K494" s="686"/>
      <c r="L494" s="687"/>
      <c r="M494" s="687"/>
      <c r="N494" s="687"/>
      <c r="O494" s="688"/>
      <c r="P494" s="423"/>
      <c r="Q494" s="333"/>
      <c r="R494" s="404">
        <v>0</v>
      </c>
      <c r="S494" s="97">
        <f t="shared" si="27"/>
        <v>0</v>
      </c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</row>
    <row r="495" spans="1:52" ht="12.5" x14ac:dyDescent="0.25">
      <c r="A495" s="689"/>
      <c r="B495" s="690"/>
      <c r="C495" s="690"/>
      <c r="D495" s="690"/>
      <c r="E495" s="690"/>
      <c r="F495" s="691"/>
      <c r="G495" s="420"/>
      <c r="H495" s="332"/>
      <c r="I495" s="365">
        <v>0</v>
      </c>
      <c r="J495" s="330">
        <f t="shared" si="28"/>
        <v>0</v>
      </c>
      <c r="K495" s="686"/>
      <c r="L495" s="687"/>
      <c r="M495" s="687"/>
      <c r="N495" s="687"/>
      <c r="O495" s="688"/>
      <c r="P495" s="422"/>
      <c r="Q495" s="333"/>
      <c r="R495" s="404">
        <v>0</v>
      </c>
      <c r="S495" s="97">
        <f t="shared" si="27"/>
        <v>0</v>
      </c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</row>
    <row r="496" spans="1:52" ht="12.65" customHeight="1" x14ac:dyDescent="0.25">
      <c r="A496" s="689"/>
      <c r="B496" s="690"/>
      <c r="C496" s="690"/>
      <c r="D496" s="690"/>
      <c r="E496" s="690"/>
      <c r="F496" s="691"/>
      <c r="G496" s="420"/>
      <c r="H496" s="332"/>
      <c r="I496" s="365">
        <v>0</v>
      </c>
      <c r="J496" s="97">
        <f t="shared" si="28"/>
        <v>0</v>
      </c>
      <c r="K496" s="686"/>
      <c r="L496" s="687"/>
      <c r="M496" s="687"/>
      <c r="N496" s="687"/>
      <c r="O496" s="688"/>
      <c r="P496" s="424"/>
      <c r="Q496" s="333"/>
      <c r="R496" s="404">
        <v>0</v>
      </c>
      <c r="S496" s="97">
        <f t="shared" si="27"/>
        <v>0</v>
      </c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</row>
    <row r="497" spans="1:52" ht="13.5" thickBot="1" x14ac:dyDescent="0.35">
      <c r="A497" s="109"/>
      <c r="B497" s="109"/>
      <c r="C497" s="109"/>
      <c r="D497" s="109"/>
      <c r="E497" s="109"/>
      <c r="F497" s="109"/>
      <c r="G497" s="109"/>
      <c r="H497" s="109"/>
      <c r="I497" s="157" t="s">
        <v>0</v>
      </c>
      <c r="J497" s="679">
        <f>SUM(J463:J496)</f>
        <v>0</v>
      </c>
      <c r="K497" s="158"/>
      <c r="L497" s="158"/>
      <c r="M497" s="158"/>
      <c r="N497" s="158"/>
      <c r="O497" s="158"/>
      <c r="P497" s="158"/>
      <c r="Q497" s="158"/>
      <c r="R497" s="157" t="s">
        <v>0</v>
      </c>
      <c r="S497" s="679">
        <f>SUM(S463:S496)</f>
        <v>0</v>
      </c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</row>
    <row r="498" spans="1:52" ht="8.25" customHeight="1" x14ac:dyDescent="0.25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</row>
    <row r="499" spans="1:52" ht="26.25" customHeight="1" thickBot="1" x14ac:dyDescent="0.35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57" t="s">
        <v>220</v>
      </c>
      <c r="Q499" s="157" t="s">
        <v>0</v>
      </c>
      <c r="R499" s="659">
        <f>SUM(J497+S497)</f>
        <v>0</v>
      </c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</row>
    <row r="500" spans="1:52" ht="19.5" customHeight="1" x14ac:dyDescent="0.65"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</row>
    <row r="501" spans="1:52" ht="17.25" customHeight="1" x14ac:dyDescent="0.65">
      <c r="A501" s="30"/>
      <c r="S501" s="31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</row>
    <row r="502" spans="1:52" ht="18" customHeight="1" x14ac:dyDescent="0.4">
      <c r="A502" s="405"/>
      <c r="B502" s="405"/>
      <c r="C502" s="405"/>
      <c r="D502" s="405"/>
      <c r="E502" s="405"/>
      <c r="F502" s="405"/>
      <c r="G502" s="408" t="s">
        <v>303</v>
      </c>
      <c r="H502" s="408"/>
      <c r="I502" s="408"/>
      <c r="J502" s="408"/>
      <c r="K502" s="408"/>
      <c r="L502" s="408"/>
      <c r="M502" s="405"/>
      <c r="N502" s="325" t="s">
        <v>234</v>
      </c>
      <c r="O502" s="405"/>
      <c r="P502" s="405"/>
      <c r="Q502" s="405"/>
      <c r="R502" s="405"/>
      <c r="S502" s="405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</row>
    <row r="503" spans="1:52" ht="12.5" x14ac:dyDescent="0.25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</row>
    <row r="504" spans="1:52" ht="12.5" x14ac:dyDescent="0.25">
      <c r="A504" s="409"/>
      <c r="B504" s="407"/>
      <c r="C504" s="159"/>
      <c r="D504" s="159"/>
      <c r="E504" s="159"/>
      <c r="F504" s="159"/>
      <c r="G504" s="159"/>
      <c r="H504" s="324" t="s">
        <v>300</v>
      </c>
      <c r="I504" s="159"/>
      <c r="J504" s="159"/>
      <c r="K504" s="159"/>
      <c r="L504" s="159"/>
      <c r="M504" s="160"/>
      <c r="N504" s="161" t="s">
        <v>301</v>
      </c>
      <c r="O504" s="161" t="s">
        <v>302</v>
      </c>
      <c r="P504" s="161" t="s">
        <v>304</v>
      </c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</row>
    <row r="505" spans="1:52" ht="12.5" x14ac:dyDescent="0.25">
      <c r="A505" s="409"/>
      <c r="B505" s="711"/>
      <c r="C505" s="712"/>
      <c r="D505" s="712"/>
      <c r="E505" s="712"/>
      <c r="F505" s="712"/>
      <c r="G505" s="712"/>
      <c r="H505" s="712"/>
      <c r="I505" s="712"/>
      <c r="J505" s="712"/>
      <c r="K505" s="712"/>
      <c r="L505" s="712"/>
      <c r="M505" s="713"/>
      <c r="N505" s="317"/>
      <c r="O505" s="333"/>
      <c r="P505" s="228">
        <f>SUM(N505*O505)</f>
        <v>0</v>
      </c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</row>
    <row r="506" spans="1:52" ht="12.5" x14ac:dyDescent="0.25">
      <c r="A506" s="409"/>
      <c r="B506" s="711"/>
      <c r="C506" s="712"/>
      <c r="D506" s="712"/>
      <c r="E506" s="712"/>
      <c r="F506" s="712"/>
      <c r="G506" s="712"/>
      <c r="H506" s="712"/>
      <c r="I506" s="712"/>
      <c r="J506" s="712"/>
      <c r="K506" s="712"/>
      <c r="L506" s="712"/>
      <c r="M506" s="713"/>
      <c r="N506" s="334"/>
      <c r="O506" s="335"/>
      <c r="P506" s="323">
        <f>SUM(N506*O506)</f>
        <v>0</v>
      </c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</row>
    <row r="507" spans="1:52" ht="12.5" x14ac:dyDescent="0.25">
      <c r="A507" s="409"/>
      <c r="B507" s="721"/>
      <c r="C507" s="712"/>
      <c r="D507" s="712"/>
      <c r="E507" s="712"/>
      <c r="F507" s="712"/>
      <c r="G507" s="712"/>
      <c r="H507" s="712"/>
      <c r="I507" s="712"/>
      <c r="J507" s="712"/>
      <c r="K507" s="712"/>
      <c r="L507" s="712"/>
      <c r="M507" s="713"/>
      <c r="N507" s="317"/>
      <c r="O507" s="333"/>
      <c r="P507" s="228">
        <f>SUM(N507*O507)</f>
        <v>0</v>
      </c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</row>
    <row r="508" spans="1:52" ht="12.5" x14ac:dyDescent="0.25">
      <c r="A508" s="409"/>
      <c r="B508" s="711"/>
      <c r="C508" s="712"/>
      <c r="D508" s="712"/>
      <c r="E508" s="712"/>
      <c r="F508" s="712"/>
      <c r="G508" s="712"/>
      <c r="H508" s="712"/>
      <c r="I508" s="712"/>
      <c r="J508" s="712"/>
      <c r="K508" s="712"/>
      <c r="L508" s="712"/>
      <c r="M508" s="713"/>
      <c r="N508" s="334"/>
      <c r="O508" s="335"/>
      <c r="P508" s="228">
        <f t="shared" ref="P508:P535" si="29">SUM(N508*O508)</f>
        <v>0</v>
      </c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</row>
    <row r="509" spans="1:52" ht="12.5" x14ac:dyDescent="0.25">
      <c r="A509" s="409"/>
      <c r="B509" s="711"/>
      <c r="C509" s="712"/>
      <c r="D509" s="712"/>
      <c r="E509" s="712"/>
      <c r="F509" s="712"/>
      <c r="G509" s="712"/>
      <c r="H509" s="712"/>
      <c r="I509" s="712"/>
      <c r="J509" s="712"/>
      <c r="K509" s="712"/>
      <c r="L509" s="712"/>
      <c r="M509" s="713"/>
      <c r="N509" s="317"/>
      <c r="O509" s="333"/>
      <c r="P509" s="323">
        <f t="shared" si="29"/>
        <v>0</v>
      </c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</row>
    <row r="510" spans="1:52" ht="12.5" x14ac:dyDescent="0.25">
      <c r="A510" s="409"/>
      <c r="B510" s="711"/>
      <c r="C510" s="712"/>
      <c r="D510" s="712"/>
      <c r="E510" s="712"/>
      <c r="F510" s="712"/>
      <c r="G510" s="712"/>
      <c r="H510" s="712"/>
      <c r="I510" s="712"/>
      <c r="J510" s="712"/>
      <c r="K510" s="712"/>
      <c r="L510" s="712"/>
      <c r="M510" s="713"/>
      <c r="N510" s="334"/>
      <c r="O510" s="335"/>
      <c r="P510" s="228">
        <f t="shared" si="29"/>
        <v>0</v>
      </c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</row>
    <row r="511" spans="1:52" ht="12.5" x14ac:dyDescent="0.25">
      <c r="A511" s="409"/>
      <c r="B511" s="711"/>
      <c r="C511" s="712"/>
      <c r="D511" s="712"/>
      <c r="E511" s="712"/>
      <c r="F511" s="712"/>
      <c r="G511" s="712"/>
      <c r="H511" s="712"/>
      <c r="I511" s="712"/>
      <c r="J511" s="712"/>
      <c r="K511" s="712"/>
      <c r="L511" s="712"/>
      <c r="M511" s="713"/>
      <c r="N511" s="317"/>
      <c r="O511" s="333"/>
      <c r="P511" s="228">
        <f t="shared" si="29"/>
        <v>0</v>
      </c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</row>
    <row r="512" spans="1:52" ht="12.5" x14ac:dyDescent="0.25">
      <c r="A512" s="409"/>
      <c r="B512" s="711"/>
      <c r="C512" s="712"/>
      <c r="D512" s="712"/>
      <c r="E512" s="712"/>
      <c r="F512" s="712"/>
      <c r="G512" s="712"/>
      <c r="H512" s="712"/>
      <c r="I512" s="712"/>
      <c r="J512" s="712"/>
      <c r="K512" s="712"/>
      <c r="L512" s="712"/>
      <c r="M512" s="713"/>
      <c r="N512" s="334"/>
      <c r="O512" s="335"/>
      <c r="P512" s="323">
        <f t="shared" si="29"/>
        <v>0</v>
      </c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</row>
    <row r="513" spans="1:52" ht="12.5" x14ac:dyDescent="0.25">
      <c r="A513" s="409"/>
      <c r="B513" s="711"/>
      <c r="C513" s="712"/>
      <c r="D513" s="712"/>
      <c r="E513" s="712"/>
      <c r="F513" s="712"/>
      <c r="G513" s="712"/>
      <c r="H513" s="712"/>
      <c r="I513" s="712"/>
      <c r="J513" s="712"/>
      <c r="K513" s="712"/>
      <c r="L513" s="712"/>
      <c r="M513" s="713"/>
      <c r="N513" s="317"/>
      <c r="O513" s="333"/>
      <c r="P513" s="228">
        <f t="shared" si="29"/>
        <v>0</v>
      </c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</row>
    <row r="514" spans="1:52" ht="12.5" x14ac:dyDescent="0.25">
      <c r="A514" s="409"/>
      <c r="B514" s="711"/>
      <c r="C514" s="712"/>
      <c r="D514" s="712"/>
      <c r="E514" s="712"/>
      <c r="F514" s="712"/>
      <c r="G514" s="712"/>
      <c r="H514" s="712"/>
      <c r="I514" s="712"/>
      <c r="J514" s="712"/>
      <c r="K514" s="712"/>
      <c r="L514" s="712"/>
      <c r="M514" s="713"/>
      <c r="N514" s="334"/>
      <c r="O514" s="335"/>
      <c r="P514" s="228">
        <f t="shared" si="29"/>
        <v>0</v>
      </c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</row>
    <row r="515" spans="1:52" ht="12.5" x14ac:dyDescent="0.25">
      <c r="A515" s="409"/>
      <c r="B515" s="711"/>
      <c r="C515" s="712"/>
      <c r="D515" s="712"/>
      <c r="E515" s="712"/>
      <c r="F515" s="712"/>
      <c r="G515" s="712"/>
      <c r="H515" s="712"/>
      <c r="I515" s="712"/>
      <c r="J515" s="712"/>
      <c r="K515" s="712"/>
      <c r="L515" s="712"/>
      <c r="M515" s="713"/>
      <c r="N515" s="317"/>
      <c r="O515" s="333"/>
      <c r="P515" s="323">
        <f t="shared" si="29"/>
        <v>0</v>
      </c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</row>
    <row r="516" spans="1:52" ht="12.5" x14ac:dyDescent="0.25">
      <c r="A516" s="409"/>
      <c r="B516" s="711"/>
      <c r="C516" s="712"/>
      <c r="D516" s="712"/>
      <c r="E516" s="712"/>
      <c r="F516" s="712"/>
      <c r="G516" s="712"/>
      <c r="H516" s="712"/>
      <c r="I516" s="712"/>
      <c r="J516" s="712"/>
      <c r="K516" s="712"/>
      <c r="L516" s="712"/>
      <c r="M516" s="713"/>
      <c r="N516" s="334"/>
      <c r="O516" s="335"/>
      <c r="P516" s="228">
        <f t="shared" si="29"/>
        <v>0</v>
      </c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</row>
    <row r="517" spans="1:52" ht="12.5" x14ac:dyDescent="0.25">
      <c r="A517" s="409"/>
      <c r="B517" s="711"/>
      <c r="C517" s="712"/>
      <c r="D517" s="712"/>
      <c r="E517" s="712"/>
      <c r="F517" s="712"/>
      <c r="G517" s="712"/>
      <c r="H517" s="712"/>
      <c r="I517" s="712"/>
      <c r="J517" s="712"/>
      <c r="K517" s="712"/>
      <c r="L517" s="712"/>
      <c r="M517" s="713"/>
      <c r="N517" s="317"/>
      <c r="O517" s="333"/>
      <c r="P517" s="228">
        <f t="shared" si="29"/>
        <v>0</v>
      </c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</row>
    <row r="518" spans="1:52" ht="12.5" x14ac:dyDescent="0.25">
      <c r="A518" s="409"/>
      <c r="B518" s="711"/>
      <c r="C518" s="712"/>
      <c r="D518" s="712"/>
      <c r="E518" s="712"/>
      <c r="F518" s="712"/>
      <c r="G518" s="712"/>
      <c r="H518" s="712"/>
      <c r="I518" s="712"/>
      <c r="J518" s="712"/>
      <c r="K518" s="712"/>
      <c r="L518" s="712"/>
      <c r="M518" s="713"/>
      <c r="N518" s="334"/>
      <c r="O518" s="335"/>
      <c r="P518" s="323">
        <f t="shared" si="29"/>
        <v>0</v>
      </c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</row>
    <row r="519" spans="1:52" ht="12.5" x14ac:dyDescent="0.25">
      <c r="A519" s="409"/>
      <c r="B519" s="711"/>
      <c r="C519" s="712"/>
      <c r="D519" s="712"/>
      <c r="E519" s="712"/>
      <c r="F519" s="712"/>
      <c r="G519" s="712"/>
      <c r="H519" s="712"/>
      <c r="I519" s="712"/>
      <c r="J519" s="712"/>
      <c r="K519" s="712"/>
      <c r="L519" s="712"/>
      <c r="M519" s="713"/>
      <c r="N519" s="317"/>
      <c r="O519" s="333"/>
      <c r="P519" s="228">
        <f t="shared" si="29"/>
        <v>0</v>
      </c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</row>
    <row r="520" spans="1:52" ht="12.5" x14ac:dyDescent="0.25">
      <c r="A520" s="409"/>
      <c r="B520" s="711"/>
      <c r="C520" s="712"/>
      <c r="D520" s="712"/>
      <c r="E520" s="712"/>
      <c r="F520" s="712"/>
      <c r="G520" s="712"/>
      <c r="H520" s="712"/>
      <c r="I520" s="712"/>
      <c r="J520" s="712"/>
      <c r="K520" s="712"/>
      <c r="L520" s="712"/>
      <c r="M520" s="713"/>
      <c r="N520" s="334"/>
      <c r="O520" s="335"/>
      <c r="P520" s="228">
        <f t="shared" si="29"/>
        <v>0</v>
      </c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</row>
    <row r="521" spans="1:52" ht="12.5" x14ac:dyDescent="0.25">
      <c r="A521" s="409"/>
      <c r="B521" s="711"/>
      <c r="C521" s="712"/>
      <c r="D521" s="712"/>
      <c r="E521" s="712"/>
      <c r="F521" s="712"/>
      <c r="G521" s="712"/>
      <c r="H521" s="712"/>
      <c r="I521" s="712"/>
      <c r="J521" s="712"/>
      <c r="K521" s="712"/>
      <c r="L521" s="712"/>
      <c r="M521" s="713"/>
      <c r="N521" s="317"/>
      <c r="O521" s="333"/>
      <c r="P521" s="323">
        <f t="shared" si="29"/>
        <v>0</v>
      </c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</row>
    <row r="522" spans="1:52" ht="12.5" x14ac:dyDescent="0.25">
      <c r="A522" s="409"/>
      <c r="B522" s="711"/>
      <c r="C522" s="712"/>
      <c r="D522" s="712"/>
      <c r="E522" s="712"/>
      <c r="F522" s="712"/>
      <c r="G522" s="712"/>
      <c r="H522" s="712"/>
      <c r="I522" s="712"/>
      <c r="J522" s="712"/>
      <c r="K522" s="712"/>
      <c r="L522" s="712"/>
      <c r="M522" s="713"/>
      <c r="N522" s="334"/>
      <c r="O522" s="335"/>
      <c r="P522" s="228">
        <f t="shared" si="29"/>
        <v>0</v>
      </c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</row>
    <row r="523" spans="1:52" ht="12.5" x14ac:dyDescent="0.25">
      <c r="A523" s="409"/>
      <c r="B523" s="711"/>
      <c r="C523" s="712"/>
      <c r="D523" s="712"/>
      <c r="E523" s="712"/>
      <c r="F523" s="712"/>
      <c r="G523" s="712"/>
      <c r="H523" s="712"/>
      <c r="I523" s="712"/>
      <c r="J523" s="712"/>
      <c r="K523" s="712"/>
      <c r="L523" s="712"/>
      <c r="M523" s="713"/>
      <c r="N523" s="317"/>
      <c r="O523" s="333"/>
      <c r="P523" s="228">
        <f t="shared" si="29"/>
        <v>0</v>
      </c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</row>
    <row r="524" spans="1:52" ht="12.5" x14ac:dyDescent="0.25">
      <c r="A524" s="409"/>
      <c r="B524" s="711"/>
      <c r="C524" s="712"/>
      <c r="D524" s="712"/>
      <c r="E524" s="712"/>
      <c r="F524" s="712"/>
      <c r="G524" s="712"/>
      <c r="H524" s="712"/>
      <c r="I524" s="712"/>
      <c r="J524" s="712"/>
      <c r="K524" s="712"/>
      <c r="L524" s="712"/>
      <c r="M524" s="713"/>
      <c r="N524" s="334"/>
      <c r="O524" s="335"/>
      <c r="P524" s="323">
        <f t="shared" si="29"/>
        <v>0</v>
      </c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</row>
    <row r="525" spans="1:52" ht="12.5" x14ac:dyDescent="0.25">
      <c r="A525" s="409"/>
      <c r="B525" s="711"/>
      <c r="C525" s="712"/>
      <c r="D525" s="712"/>
      <c r="E525" s="712"/>
      <c r="F525" s="712"/>
      <c r="G525" s="712"/>
      <c r="H525" s="712"/>
      <c r="I525" s="712"/>
      <c r="J525" s="712"/>
      <c r="K525" s="712"/>
      <c r="L525" s="712"/>
      <c r="M525" s="713"/>
      <c r="N525" s="317"/>
      <c r="O525" s="333"/>
      <c r="P525" s="228">
        <f t="shared" si="29"/>
        <v>0</v>
      </c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</row>
    <row r="526" spans="1:52" ht="12.5" x14ac:dyDescent="0.25">
      <c r="A526" s="409"/>
      <c r="B526" s="711"/>
      <c r="C526" s="712"/>
      <c r="D526" s="712"/>
      <c r="E526" s="712"/>
      <c r="F526" s="712"/>
      <c r="G526" s="712"/>
      <c r="H526" s="712"/>
      <c r="I526" s="712"/>
      <c r="J526" s="712"/>
      <c r="K526" s="712"/>
      <c r="L526" s="712"/>
      <c r="M526" s="713"/>
      <c r="N526" s="334"/>
      <c r="O526" s="335"/>
      <c r="P526" s="228">
        <f t="shared" si="29"/>
        <v>0</v>
      </c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</row>
    <row r="527" spans="1:52" ht="12.5" x14ac:dyDescent="0.25">
      <c r="A527" s="409"/>
      <c r="B527" s="711"/>
      <c r="C527" s="712"/>
      <c r="D527" s="712"/>
      <c r="E527" s="712"/>
      <c r="F527" s="712"/>
      <c r="G527" s="712"/>
      <c r="H527" s="712"/>
      <c r="I527" s="712"/>
      <c r="J527" s="712"/>
      <c r="K527" s="712"/>
      <c r="L527" s="712"/>
      <c r="M527" s="713"/>
      <c r="N527" s="317"/>
      <c r="O527" s="333"/>
      <c r="P527" s="323">
        <f t="shared" si="29"/>
        <v>0</v>
      </c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</row>
    <row r="528" spans="1:52" ht="12.5" x14ac:dyDescent="0.25">
      <c r="A528" s="409"/>
      <c r="B528" s="711"/>
      <c r="C528" s="712"/>
      <c r="D528" s="712"/>
      <c r="E528" s="712"/>
      <c r="F528" s="712"/>
      <c r="G528" s="712"/>
      <c r="H528" s="712"/>
      <c r="I528" s="712"/>
      <c r="J528" s="712"/>
      <c r="K528" s="712"/>
      <c r="L528" s="712"/>
      <c r="M528" s="713"/>
      <c r="N528" s="334"/>
      <c r="O528" s="335"/>
      <c r="P528" s="228">
        <f t="shared" si="29"/>
        <v>0</v>
      </c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</row>
    <row r="529" spans="1:52" ht="12.5" x14ac:dyDescent="0.25">
      <c r="A529" s="409"/>
      <c r="B529" s="711"/>
      <c r="C529" s="712"/>
      <c r="D529" s="712"/>
      <c r="E529" s="712"/>
      <c r="F529" s="712"/>
      <c r="G529" s="712"/>
      <c r="H529" s="712"/>
      <c r="I529" s="712"/>
      <c r="J529" s="712"/>
      <c r="K529" s="712"/>
      <c r="L529" s="712"/>
      <c r="M529" s="713"/>
      <c r="N529" s="317"/>
      <c r="O529" s="333"/>
      <c r="P529" s="228">
        <f t="shared" si="29"/>
        <v>0</v>
      </c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</row>
    <row r="530" spans="1:52" ht="12.5" x14ac:dyDescent="0.25">
      <c r="A530" s="409"/>
      <c r="B530" s="711"/>
      <c r="C530" s="712"/>
      <c r="D530" s="712"/>
      <c r="E530" s="712"/>
      <c r="F530" s="712"/>
      <c r="G530" s="712"/>
      <c r="H530" s="712"/>
      <c r="I530" s="712"/>
      <c r="J530" s="712"/>
      <c r="K530" s="712"/>
      <c r="L530" s="712"/>
      <c r="M530" s="713"/>
      <c r="N530" s="334"/>
      <c r="O530" s="335"/>
      <c r="P530" s="323">
        <f t="shared" si="29"/>
        <v>0</v>
      </c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</row>
    <row r="531" spans="1:52" ht="12.5" x14ac:dyDescent="0.25">
      <c r="A531" s="409"/>
      <c r="B531" s="711"/>
      <c r="C531" s="712"/>
      <c r="D531" s="712"/>
      <c r="E531" s="712"/>
      <c r="F531" s="712"/>
      <c r="G531" s="712"/>
      <c r="H531" s="712"/>
      <c r="I531" s="712"/>
      <c r="J531" s="712"/>
      <c r="K531" s="712"/>
      <c r="L531" s="712"/>
      <c r="M531" s="713"/>
      <c r="N531" s="317"/>
      <c r="O531" s="333"/>
      <c r="P531" s="228">
        <f t="shared" si="29"/>
        <v>0</v>
      </c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</row>
    <row r="532" spans="1:52" ht="12.5" x14ac:dyDescent="0.25">
      <c r="A532" s="409"/>
      <c r="B532" s="711"/>
      <c r="C532" s="712"/>
      <c r="D532" s="712"/>
      <c r="E532" s="712"/>
      <c r="F532" s="712"/>
      <c r="G532" s="712"/>
      <c r="H532" s="712"/>
      <c r="I532" s="712"/>
      <c r="J532" s="712"/>
      <c r="K532" s="712"/>
      <c r="L532" s="712"/>
      <c r="M532" s="713"/>
      <c r="N532" s="334"/>
      <c r="O532" s="335"/>
      <c r="P532" s="228">
        <f t="shared" si="29"/>
        <v>0</v>
      </c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</row>
    <row r="533" spans="1:52" ht="12.5" x14ac:dyDescent="0.25">
      <c r="A533" s="409"/>
      <c r="B533" s="711"/>
      <c r="C533" s="712"/>
      <c r="D533" s="712"/>
      <c r="E533" s="712"/>
      <c r="F533" s="712"/>
      <c r="G533" s="712"/>
      <c r="H533" s="712"/>
      <c r="I533" s="712"/>
      <c r="J533" s="712"/>
      <c r="K533" s="712"/>
      <c r="L533" s="712"/>
      <c r="M533" s="713"/>
      <c r="N533" s="317"/>
      <c r="O533" s="333"/>
      <c r="P533" s="323">
        <f t="shared" si="29"/>
        <v>0</v>
      </c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</row>
    <row r="534" spans="1:52" ht="12.5" x14ac:dyDescent="0.25">
      <c r="A534" s="409"/>
      <c r="B534" s="711"/>
      <c r="C534" s="712"/>
      <c r="D534" s="712"/>
      <c r="E534" s="712"/>
      <c r="F534" s="712"/>
      <c r="G534" s="712"/>
      <c r="H534" s="712"/>
      <c r="I534" s="712"/>
      <c r="J534" s="712"/>
      <c r="K534" s="712"/>
      <c r="L534" s="712"/>
      <c r="M534" s="713"/>
      <c r="N534" s="334"/>
      <c r="O534" s="335"/>
      <c r="P534" s="228">
        <f t="shared" si="29"/>
        <v>0</v>
      </c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</row>
    <row r="535" spans="1:52" ht="12.5" x14ac:dyDescent="0.25">
      <c r="A535" s="409"/>
      <c r="B535" s="711"/>
      <c r="C535" s="712"/>
      <c r="D535" s="712"/>
      <c r="E535" s="712"/>
      <c r="F535" s="712"/>
      <c r="G535" s="712"/>
      <c r="H535" s="712"/>
      <c r="I535" s="712"/>
      <c r="J535" s="712"/>
      <c r="K535" s="712"/>
      <c r="L535" s="712"/>
      <c r="M535" s="713"/>
      <c r="N535" s="317"/>
      <c r="O535" s="333"/>
      <c r="P535" s="228">
        <f t="shared" si="29"/>
        <v>0</v>
      </c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</row>
    <row r="536" spans="1:52" ht="12.5" x14ac:dyDescent="0.25">
      <c r="A536" s="409"/>
      <c r="B536" s="711"/>
      <c r="C536" s="712"/>
      <c r="D536" s="712"/>
      <c r="E536" s="712"/>
      <c r="F536" s="712"/>
      <c r="G536" s="712"/>
      <c r="H536" s="712"/>
      <c r="I536" s="712"/>
      <c r="J536" s="712"/>
      <c r="K536" s="712"/>
      <c r="L536" s="712"/>
      <c r="M536" s="713"/>
      <c r="N536" s="336"/>
      <c r="O536" s="337"/>
      <c r="P536" s="228">
        <f>SUM(N536*O536)</f>
        <v>0</v>
      </c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</row>
    <row r="537" spans="1:52" ht="12.5" x14ac:dyDescent="0.25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300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</row>
    <row r="538" spans="1:52" ht="13.5" thickBot="1" x14ac:dyDescent="0.35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57" t="s">
        <v>0</v>
      </c>
      <c r="P538" s="676">
        <f>SUM(P505:P536)</f>
        <v>0</v>
      </c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</row>
    <row r="539" spans="1:52" ht="12.5" x14ac:dyDescent="0.25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</row>
    <row r="540" spans="1:52" ht="26.25" customHeight="1" thickBot="1" x14ac:dyDescent="0.35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57" t="s">
        <v>220</v>
      </c>
      <c r="Q540" s="157" t="s">
        <v>0</v>
      </c>
      <c r="R540" s="659">
        <f>SUM(P538)</f>
        <v>0</v>
      </c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</row>
    <row r="541" spans="1:52" ht="20.25" customHeight="1" x14ac:dyDescent="0.35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62"/>
      <c r="Q541" s="406"/>
      <c r="R541" s="167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</row>
    <row r="542" spans="1:52" ht="18.75" hidden="1" customHeight="1" thickBot="1" x14ac:dyDescent="0.3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</row>
    <row r="543" spans="1:52" ht="2.5" customHeight="1" x14ac:dyDescent="0.65"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</row>
    <row r="544" spans="1:52" ht="23.25" customHeight="1" x14ac:dyDescent="0.35">
      <c r="B544" s="35" t="s">
        <v>516</v>
      </c>
      <c r="C544" s="5"/>
      <c r="D544" s="5"/>
      <c r="E544" s="5"/>
      <c r="F544" s="5"/>
      <c r="G544" s="36"/>
      <c r="N544" s="96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</row>
    <row r="545" spans="1:52" ht="15.5" x14ac:dyDescent="0.35">
      <c r="B545" s="35" t="s">
        <v>64</v>
      </c>
      <c r="C545" s="5"/>
      <c r="D545" s="5"/>
      <c r="E545" s="5"/>
      <c r="F545" s="5"/>
      <c r="G545" s="5"/>
      <c r="I545" s="80"/>
      <c r="M545" s="325" t="s">
        <v>234</v>
      </c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</row>
    <row r="546" spans="1:52" ht="15.5" x14ac:dyDescent="0.35">
      <c r="B546" s="35" t="s">
        <v>266</v>
      </c>
      <c r="C546" s="5"/>
      <c r="D546" s="5"/>
      <c r="E546" s="5"/>
      <c r="F546" s="5"/>
      <c r="G546" s="5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</row>
    <row r="547" spans="1:52" ht="12.5" x14ac:dyDescent="0.25">
      <c r="B547" s="5"/>
      <c r="C547" s="5"/>
      <c r="D547" s="5"/>
      <c r="E547" s="5"/>
      <c r="F547" s="5"/>
      <c r="G547" s="5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</row>
    <row r="548" spans="1:52" ht="12.5" x14ac:dyDescent="0.25">
      <c r="B548" s="5" t="s">
        <v>43</v>
      </c>
      <c r="C548" s="5"/>
      <c r="D548" s="5"/>
      <c r="E548" s="5"/>
      <c r="F548" s="5"/>
      <c r="G548" s="5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</row>
    <row r="549" spans="1:52" ht="12.5" x14ac:dyDescent="0.25">
      <c r="B549" s="5" t="s">
        <v>29</v>
      </c>
      <c r="C549" s="5"/>
      <c r="D549" s="5"/>
      <c r="E549" s="5"/>
      <c r="F549" s="5"/>
      <c r="G549" s="5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</row>
    <row r="550" spans="1:52" ht="12.5" x14ac:dyDescent="0.25">
      <c r="B550" s="5"/>
      <c r="C550" s="5"/>
      <c r="D550" s="5"/>
      <c r="E550" s="5"/>
      <c r="F550" s="5"/>
      <c r="G550" s="5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</row>
    <row r="551" spans="1:52" ht="13" x14ac:dyDescent="0.3">
      <c r="B551" s="59" t="s">
        <v>151</v>
      </c>
      <c r="C551" s="59"/>
      <c r="D551" s="5"/>
      <c r="E551" s="5"/>
      <c r="F551" s="5"/>
      <c r="G551" s="5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</row>
    <row r="552" spans="1:52" ht="13" x14ac:dyDescent="0.3">
      <c r="B552" s="59"/>
      <c r="C552" s="59"/>
      <c r="D552" s="5"/>
      <c r="E552" s="5"/>
      <c r="F552" s="5"/>
      <c r="G552" s="5"/>
      <c r="I552" s="15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</row>
    <row r="553" spans="1:52" ht="12.5" x14ac:dyDescent="0.25">
      <c r="B553" s="5" t="s">
        <v>72</v>
      </c>
      <c r="C553" s="5"/>
      <c r="D553" s="5"/>
      <c r="E553" s="5"/>
      <c r="F553" s="5"/>
      <c r="G553" s="5"/>
      <c r="H553" s="15" t="s">
        <v>31</v>
      </c>
      <c r="J553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</row>
    <row r="554" spans="1:52" ht="13" x14ac:dyDescent="0.3">
      <c r="A554" s="41"/>
      <c r="B554" s="410" t="s">
        <v>40</v>
      </c>
      <c r="C554" s="38"/>
      <c r="D554" s="38"/>
      <c r="E554" s="38"/>
      <c r="F554" s="38"/>
      <c r="G554" s="718">
        <v>0.5</v>
      </c>
      <c r="H554" s="708"/>
      <c r="I554" s="377"/>
      <c r="J554" s="16"/>
      <c r="L554" s="708">
        <v>0.5</v>
      </c>
      <c r="M554" s="709"/>
      <c r="N554" s="61" t="s">
        <v>0</v>
      </c>
      <c r="O554" s="708">
        <v>0.1</v>
      </c>
      <c r="P554" s="709"/>
      <c r="Q554" s="13" t="s">
        <v>0</v>
      </c>
      <c r="R554" s="15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</row>
    <row r="555" spans="1:52" ht="13" x14ac:dyDescent="0.3">
      <c r="A555" s="41"/>
      <c r="B555" s="410" t="s">
        <v>229</v>
      </c>
      <c r="C555" s="38"/>
      <c r="D555" s="38"/>
      <c r="E555" s="38"/>
      <c r="F555" s="38"/>
      <c r="G555" s="718">
        <v>0.1</v>
      </c>
      <c r="H555" s="708"/>
      <c r="I555" s="378" t="s">
        <v>395</v>
      </c>
      <c r="J555" s="48" t="s">
        <v>222</v>
      </c>
      <c r="K555" s="13" t="s">
        <v>0</v>
      </c>
      <c r="L555" s="356" t="s">
        <v>395</v>
      </c>
      <c r="M555" s="13" t="s">
        <v>222</v>
      </c>
      <c r="N555" s="62"/>
      <c r="O555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</row>
    <row r="556" spans="1:52" ht="12.5" x14ac:dyDescent="0.25">
      <c r="A556" s="41"/>
      <c r="B556" s="38" t="s">
        <v>30</v>
      </c>
      <c r="C556" s="38"/>
      <c r="D556" s="38"/>
      <c r="E556" s="38"/>
      <c r="F556" s="9"/>
      <c r="G556" s="13"/>
      <c r="H556" s="22">
        <v>0.42</v>
      </c>
      <c r="I556" s="337"/>
      <c r="J556" s="337"/>
      <c r="K556" s="330">
        <f>SUM(J556*0.42*I556)</f>
        <v>0</v>
      </c>
      <c r="L556" s="337"/>
      <c r="M556" s="337"/>
      <c r="N556" s="330">
        <f>SUM(M556*0.42*L556*50%)</f>
        <v>0</v>
      </c>
      <c r="O556" s="91"/>
      <c r="P556" s="83"/>
      <c r="Q556" s="83"/>
      <c r="R556" s="83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</row>
    <row r="557" spans="1:52" ht="12.5" x14ac:dyDescent="0.25">
      <c r="A557" s="41"/>
      <c r="B557" s="38" t="s">
        <v>70</v>
      </c>
      <c r="C557" s="38"/>
      <c r="D557" s="38"/>
      <c r="E557" s="38"/>
      <c r="F557" s="9"/>
      <c r="G557" s="13"/>
      <c r="H557" s="22">
        <v>0.68</v>
      </c>
      <c r="I557" s="333"/>
      <c r="J557" s="333"/>
      <c r="K557" s="97">
        <f>SUM(J557*0.68*I557)</f>
        <v>0</v>
      </c>
      <c r="L557" s="333"/>
      <c r="M557" s="333"/>
      <c r="N557" s="97">
        <f>SUM(M557*0.68*L557*50%)</f>
        <v>0</v>
      </c>
      <c r="O557" s="213"/>
      <c r="P557" s="98"/>
      <c r="Q557" s="83"/>
      <c r="R557" s="83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</row>
    <row r="558" spans="1:52" ht="12.5" x14ac:dyDescent="0.25">
      <c r="A558" s="41"/>
      <c r="B558" s="38" t="s">
        <v>76</v>
      </c>
      <c r="C558" s="38"/>
      <c r="D558" s="38"/>
      <c r="E558" s="38"/>
      <c r="F558" s="9"/>
      <c r="G558" s="13"/>
      <c r="H558" s="22">
        <v>0.84</v>
      </c>
      <c r="I558" s="333"/>
      <c r="J558" s="333"/>
      <c r="K558" s="97">
        <f>SUM(J558*0.84*I558)</f>
        <v>0</v>
      </c>
      <c r="L558" s="333"/>
      <c r="M558" s="333"/>
      <c r="N558" s="369">
        <f>SUM(M558*0.84*L558*50%)</f>
        <v>0</v>
      </c>
      <c r="O558" s="369" t="s">
        <v>395</v>
      </c>
      <c r="P558" s="22" t="s">
        <v>222</v>
      </c>
      <c r="Q558" s="84"/>
      <c r="R558" s="98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</row>
    <row r="559" spans="1:52" ht="12.5" x14ac:dyDescent="0.25">
      <c r="A559" s="41"/>
      <c r="B559" s="38" t="s">
        <v>68</v>
      </c>
      <c r="C559" s="38"/>
      <c r="D559" s="38"/>
      <c r="E559" s="38"/>
      <c r="F559" s="9"/>
      <c r="G559" s="13" t="s">
        <v>52</v>
      </c>
      <c r="H559" s="22">
        <v>0.82</v>
      </c>
      <c r="I559" s="333"/>
      <c r="J559" s="333"/>
      <c r="K559" s="97">
        <f>SUM(J559*0.82*I559)</f>
        <v>0</v>
      </c>
      <c r="L559" s="333"/>
      <c r="M559" s="333"/>
      <c r="N559" s="97">
        <f>SUM(M559*0.82*L559*50%)</f>
        <v>0</v>
      </c>
      <c r="O559" s="337"/>
      <c r="P559" s="337"/>
      <c r="Q559" s="330">
        <f>SUM(P559*0.82*O559*10%)</f>
        <v>0</v>
      </c>
      <c r="R559" s="91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</row>
    <row r="560" spans="1:52" ht="12.5" x14ac:dyDescent="0.25">
      <c r="A560" s="41"/>
      <c r="B560" s="38" t="s">
        <v>69</v>
      </c>
      <c r="C560" s="38"/>
      <c r="D560" s="38"/>
      <c r="E560" s="38"/>
      <c r="F560" s="9"/>
      <c r="G560" s="13" t="s">
        <v>66</v>
      </c>
      <c r="H560" s="22">
        <v>1.1499999999999999</v>
      </c>
      <c r="I560" s="333"/>
      <c r="J560" s="333"/>
      <c r="K560" s="97">
        <f>SUM(J560*1.15*I560)</f>
        <v>0</v>
      </c>
      <c r="L560" s="333"/>
      <c r="M560" s="333"/>
      <c r="N560" s="97">
        <f>SUM(M560*1.15*L560*50%)</f>
        <v>0</v>
      </c>
      <c r="O560" s="333"/>
      <c r="P560" s="333"/>
      <c r="Q560" s="97">
        <f>SUM(P560*1.15*O560*10%)</f>
        <v>0</v>
      </c>
      <c r="R560" s="213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</row>
    <row r="561" spans="1:52" ht="12.5" x14ac:dyDescent="0.25">
      <c r="A561" s="41"/>
      <c r="B561" s="38" t="s">
        <v>71</v>
      </c>
      <c r="C561" s="38"/>
      <c r="D561" s="38"/>
      <c r="E561" s="38"/>
      <c r="F561" s="9"/>
      <c r="G561" s="13" t="s">
        <v>52</v>
      </c>
      <c r="H561" s="22">
        <v>1.31</v>
      </c>
      <c r="I561" s="333"/>
      <c r="J561" s="333"/>
      <c r="K561" s="97">
        <f>SUM(J561*1.31*I561)</f>
        <v>0</v>
      </c>
      <c r="L561" s="333"/>
      <c r="M561" s="333"/>
      <c r="N561" s="97">
        <f>SUM(M561*1.31*L561*50%)</f>
        <v>0</v>
      </c>
      <c r="O561" s="333"/>
      <c r="P561" s="333"/>
      <c r="Q561" s="97">
        <f>SUM(P561*1.31*O561*10%)</f>
        <v>0</v>
      </c>
      <c r="R561" s="213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</row>
    <row r="562" spans="1:52" ht="12.5" x14ac:dyDescent="0.25">
      <c r="A562" s="41"/>
      <c r="B562" s="38" t="s">
        <v>144</v>
      </c>
      <c r="C562" s="38"/>
      <c r="D562" s="38"/>
      <c r="E562" s="38"/>
      <c r="F562" s="9"/>
      <c r="G562" s="13" t="s">
        <v>52</v>
      </c>
      <c r="H562" s="22">
        <v>1.64</v>
      </c>
      <c r="I562" s="333"/>
      <c r="J562" s="333"/>
      <c r="K562" s="97">
        <f>SUM(J562*1.64*I562)</f>
        <v>0</v>
      </c>
      <c r="L562" s="333"/>
      <c r="M562" s="333"/>
      <c r="N562" s="97">
        <f>SUM(M562*1.64*L562*50%)</f>
        <v>0</v>
      </c>
      <c r="O562" s="333"/>
      <c r="P562" s="333"/>
      <c r="Q562" s="97">
        <f>SUM(P562*1.64*O562*10%)</f>
        <v>0</v>
      </c>
      <c r="R562" s="213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</row>
    <row r="563" spans="1:52" ht="12.5" x14ac:dyDescent="0.25">
      <c r="A563" s="41"/>
      <c r="B563" s="38" t="s">
        <v>71</v>
      </c>
      <c r="C563" s="38"/>
      <c r="D563" s="38"/>
      <c r="E563" s="38"/>
      <c r="F563" s="9"/>
      <c r="G563" s="13" t="s">
        <v>66</v>
      </c>
      <c r="H563" s="22">
        <v>1.84</v>
      </c>
      <c r="I563" s="333"/>
      <c r="J563" s="333"/>
      <c r="K563" s="97">
        <f>SUM(J563*1.84*I563)</f>
        <v>0</v>
      </c>
      <c r="L563" s="333"/>
      <c r="M563" s="333"/>
      <c r="N563" s="97">
        <f>SUM(M563*1.84*L563*50%)</f>
        <v>0</v>
      </c>
      <c r="O563" s="333"/>
      <c r="P563" s="333"/>
      <c r="Q563" s="97">
        <f>SUM(P563*1.84*O563*10%)</f>
        <v>0</v>
      </c>
      <c r="R563" s="213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</row>
    <row r="564" spans="1:52" ht="12.5" x14ac:dyDescent="0.25">
      <c r="A564" s="41"/>
      <c r="B564" s="17" t="s">
        <v>144</v>
      </c>
      <c r="C564" s="17"/>
      <c r="D564" s="17"/>
      <c r="E564" s="17"/>
      <c r="F564" s="12"/>
      <c r="G564" s="13" t="s">
        <v>66</v>
      </c>
      <c r="H564" s="22">
        <v>2.2999999999999998</v>
      </c>
      <c r="I564" s="333"/>
      <c r="J564" s="333"/>
      <c r="K564" s="97">
        <f>SUM(J564*2.3*I564)</f>
        <v>0</v>
      </c>
      <c r="L564" s="333"/>
      <c r="M564" s="333"/>
      <c r="N564" s="97">
        <f>SUM(M564*2.3*L564*50%)</f>
        <v>0</v>
      </c>
      <c r="O564" s="333"/>
      <c r="P564" s="333"/>
      <c r="Q564" s="97">
        <f>SUM(P564*2.3*O564*10%)</f>
        <v>0</v>
      </c>
      <c r="R564" s="213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</row>
    <row r="565" spans="1:52" ht="13" x14ac:dyDescent="0.3">
      <c r="B565" s="5"/>
      <c r="C565" s="5"/>
      <c r="D565" s="5"/>
      <c r="E565" s="5"/>
      <c r="F565" s="5"/>
      <c r="G565" s="5"/>
      <c r="H565" s="83"/>
      <c r="I565" s="83"/>
      <c r="J565" s="87"/>
      <c r="K565" s="167"/>
      <c r="L565" s="167"/>
      <c r="M565" s="87"/>
      <c r="N565" s="167"/>
      <c r="O565" s="167"/>
      <c r="P565" s="87"/>
      <c r="Q565" s="167"/>
      <c r="R565" s="167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</row>
    <row r="566" spans="1:52" ht="13.5" thickBot="1" x14ac:dyDescent="0.35">
      <c r="B566" s="5" t="s">
        <v>122</v>
      </c>
      <c r="C566" s="5"/>
      <c r="D566" s="5"/>
      <c r="E566" s="5"/>
      <c r="F566" s="5"/>
      <c r="G566" s="15"/>
      <c r="H566" s="34"/>
      <c r="I566" s="34"/>
      <c r="J566" s="90" t="s">
        <v>0</v>
      </c>
      <c r="K566" s="682">
        <f>SUM(K556:K564)</f>
        <v>0</v>
      </c>
      <c r="L566" s="168"/>
      <c r="M566" s="90" t="s">
        <v>0</v>
      </c>
      <c r="N566" s="682">
        <f>SUM(N556:N564)</f>
        <v>0</v>
      </c>
      <c r="O566" s="168"/>
      <c r="P566" s="90" t="s">
        <v>0</v>
      </c>
      <c r="Q566" s="682">
        <f>SUM(Q559:Q564)</f>
        <v>0</v>
      </c>
      <c r="R566" s="37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</row>
    <row r="567" spans="1:52" ht="12.5" x14ac:dyDescent="0.25">
      <c r="B567" s="5"/>
      <c r="C567" s="5"/>
      <c r="D567" s="5"/>
      <c r="E567" s="5"/>
      <c r="F567" s="5"/>
      <c r="G567" s="15"/>
      <c r="H567" s="46"/>
      <c r="I567" s="15"/>
      <c r="O567" s="15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</row>
    <row r="568" spans="1:52" ht="12.5" x14ac:dyDescent="0.25">
      <c r="B568" s="5"/>
      <c r="C568" s="5"/>
      <c r="D568" s="5"/>
      <c r="E568" s="5"/>
      <c r="G568" s="46"/>
      <c r="H568" s="46"/>
      <c r="O568" s="15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</row>
    <row r="569" spans="1:52" ht="12.5" x14ac:dyDescent="0.25">
      <c r="B569" s="5" t="s">
        <v>146</v>
      </c>
      <c r="C569" s="5"/>
      <c r="D569" s="5"/>
      <c r="E569" s="5"/>
      <c r="G569" s="46"/>
      <c r="H569" s="15"/>
      <c r="O569" s="15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</row>
    <row r="570" spans="1:52" ht="12.5" x14ac:dyDescent="0.25">
      <c r="B570" s="5" t="s">
        <v>147</v>
      </c>
      <c r="C570" s="5"/>
      <c r="D570" s="5"/>
      <c r="E570" s="5"/>
      <c r="G570" s="46"/>
      <c r="H570" s="15"/>
      <c r="O570" s="15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</row>
    <row r="571" spans="1:52" ht="12.5" x14ac:dyDescent="0.25">
      <c r="B571" s="5"/>
      <c r="C571" s="5"/>
      <c r="D571" s="5"/>
      <c r="E571" s="5"/>
      <c r="G571" s="46"/>
      <c r="H571" s="15"/>
      <c r="O571" s="15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</row>
    <row r="572" spans="1:52" ht="12.5" x14ac:dyDescent="0.25">
      <c r="A572" s="41"/>
      <c r="B572" s="38" t="s">
        <v>32</v>
      </c>
      <c r="C572" s="38"/>
      <c r="D572" s="38" t="s">
        <v>33</v>
      </c>
      <c r="E572" s="38"/>
      <c r="F572" s="9"/>
      <c r="G572" s="37" t="s">
        <v>65</v>
      </c>
      <c r="H572" s="2"/>
      <c r="I572" s="13" t="s">
        <v>12</v>
      </c>
      <c r="J572" s="13" t="s">
        <v>158</v>
      </c>
      <c r="K572" s="13" t="s">
        <v>0</v>
      </c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</row>
    <row r="573" spans="1:52" ht="12.5" x14ac:dyDescent="0.25">
      <c r="A573" s="41"/>
      <c r="B573" s="38" t="s">
        <v>32</v>
      </c>
      <c r="C573" s="38"/>
      <c r="D573" s="38" t="s">
        <v>34</v>
      </c>
      <c r="E573" s="38"/>
      <c r="F573" s="38"/>
      <c r="G573" s="719" t="s">
        <v>35</v>
      </c>
      <c r="H573" s="720"/>
      <c r="I573" s="44">
        <v>0.73</v>
      </c>
      <c r="J573" s="333"/>
      <c r="K573" s="97">
        <f>SUM(J573*0.73)</f>
        <v>0</v>
      </c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</row>
    <row r="574" spans="1:52" ht="12.5" x14ac:dyDescent="0.25">
      <c r="A574" s="41"/>
      <c r="B574" s="38" t="s">
        <v>32</v>
      </c>
      <c r="C574" s="38"/>
      <c r="D574" s="38" t="s">
        <v>34</v>
      </c>
      <c r="E574" s="38"/>
      <c r="F574" s="38"/>
      <c r="G574" s="719" t="s">
        <v>36</v>
      </c>
      <c r="H574" s="720"/>
      <c r="I574" s="44">
        <v>1.1000000000000001</v>
      </c>
      <c r="J574" s="333"/>
      <c r="K574" s="97">
        <f>SUM(J574*1.1)</f>
        <v>0</v>
      </c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</row>
    <row r="575" spans="1:52" ht="12.5" x14ac:dyDescent="0.25">
      <c r="A575" s="41"/>
      <c r="B575" s="38" t="s">
        <v>2</v>
      </c>
      <c r="C575" s="38"/>
      <c r="D575" s="38" t="s">
        <v>33</v>
      </c>
      <c r="E575" s="38"/>
      <c r="F575" s="9"/>
      <c r="G575" s="40" t="s">
        <v>65</v>
      </c>
      <c r="I575" s="13"/>
      <c r="J575" s="22"/>
      <c r="K575" s="183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</row>
    <row r="576" spans="1:52" ht="12.5" x14ac:dyDescent="0.25">
      <c r="A576" s="41"/>
      <c r="B576" s="38" t="s">
        <v>2</v>
      </c>
      <c r="C576" s="38"/>
      <c r="D576" s="38" t="s">
        <v>34</v>
      </c>
      <c r="E576" s="38"/>
      <c r="F576" s="38"/>
      <c r="G576" s="719" t="s">
        <v>35</v>
      </c>
      <c r="H576" s="720"/>
      <c r="I576" s="44">
        <v>1.4</v>
      </c>
      <c r="J576" s="333"/>
      <c r="K576" s="97">
        <f>SUM(J576*1.4)</f>
        <v>0</v>
      </c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</row>
    <row r="577" spans="1:52" ht="12.5" x14ac:dyDescent="0.25">
      <c r="A577" s="41"/>
      <c r="B577" s="38" t="s">
        <v>2</v>
      </c>
      <c r="C577" s="38"/>
      <c r="D577" s="38" t="s">
        <v>34</v>
      </c>
      <c r="E577" s="38"/>
      <c r="F577" s="38"/>
      <c r="G577" s="719" t="s">
        <v>36</v>
      </c>
      <c r="H577" s="720"/>
      <c r="I577" s="44">
        <v>1.74</v>
      </c>
      <c r="J577" s="333"/>
      <c r="K577" s="97">
        <f>SUM(J577*1.74)</f>
        <v>0</v>
      </c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</row>
    <row r="578" spans="1:52" ht="12.5" x14ac:dyDescent="0.25">
      <c r="A578" s="41"/>
      <c r="B578" s="5" t="s">
        <v>37</v>
      </c>
      <c r="C578" s="5"/>
      <c r="D578" s="5"/>
      <c r="E578" s="5"/>
      <c r="F578" s="5"/>
      <c r="G578" s="48"/>
      <c r="H578" s="12"/>
      <c r="I578" s="47">
        <v>0.09</v>
      </c>
      <c r="J578" s="333"/>
      <c r="K578" s="97">
        <f>SUM(J578*0.09)</f>
        <v>0</v>
      </c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</row>
    <row r="579" spans="1:52" ht="12.5" x14ac:dyDescent="0.25">
      <c r="A579" s="41"/>
      <c r="B579" s="38" t="s">
        <v>150</v>
      </c>
      <c r="C579" s="38"/>
      <c r="D579" s="38" t="s">
        <v>34</v>
      </c>
      <c r="E579" s="38"/>
      <c r="F579" s="38" t="s">
        <v>148</v>
      </c>
      <c r="G579" s="63" t="s">
        <v>65</v>
      </c>
      <c r="H579" s="64"/>
      <c r="I579" s="9"/>
      <c r="J579" s="22"/>
      <c r="K579" s="176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</row>
    <row r="580" spans="1:52" ht="13" x14ac:dyDescent="0.3">
      <c r="B580" s="59"/>
      <c r="C580" s="5"/>
      <c r="D580" s="5"/>
      <c r="E580" s="5"/>
      <c r="F580" s="5"/>
      <c r="G580" s="717"/>
      <c r="H580" s="717"/>
      <c r="I580" s="15"/>
      <c r="J580" s="83"/>
      <c r="K580" s="172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</row>
    <row r="581" spans="1:52" ht="12.5" x14ac:dyDescent="0.25">
      <c r="B581" s="5"/>
      <c r="C581" s="5"/>
      <c r="D581" s="5"/>
      <c r="E581" s="5"/>
      <c r="F581" s="5"/>
      <c r="G581" s="5"/>
      <c r="J581" s="83"/>
      <c r="K581" s="172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</row>
    <row r="582" spans="1:52" ht="15.75" customHeight="1" thickBot="1" x14ac:dyDescent="0.35">
      <c r="B582" s="5"/>
      <c r="C582" s="5"/>
      <c r="D582" s="5"/>
      <c r="E582" s="5"/>
      <c r="F582" s="5"/>
      <c r="G582" s="5"/>
      <c r="I582" s="59"/>
      <c r="J582" s="90" t="s">
        <v>0</v>
      </c>
      <c r="K582" s="682">
        <f>SUM(K573:K579)</f>
        <v>0</v>
      </c>
      <c r="L582" s="87"/>
      <c r="M582" s="87"/>
      <c r="N582" s="87"/>
      <c r="O582" s="87"/>
      <c r="P582" s="89" t="s">
        <v>220</v>
      </c>
      <c r="Q582" s="89" t="s">
        <v>0</v>
      </c>
      <c r="R582" s="659">
        <f>SUM(K566+N566+Q566+K582)</f>
        <v>0</v>
      </c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</row>
    <row r="583" spans="1:52" ht="12.5" hidden="1" x14ac:dyDescent="0.25">
      <c r="B583" s="5"/>
      <c r="C583" s="5"/>
      <c r="D583" s="5"/>
      <c r="E583" s="5"/>
      <c r="F583" s="5"/>
      <c r="G583" s="5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</row>
    <row r="584" spans="1:52" ht="30" customHeight="1" x14ac:dyDescent="0.65"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</row>
    <row r="585" spans="1:52" ht="0.75" customHeight="1" x14ac:dyDescent="0.65">
      <c r="A585" s="5">
        <v>0</v>
      </c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</row>
    <row r="586" spans="1:52" ht="0.75" customHeight="1" x14ac:dyDescent="0.65">
      <c r="A586" s="5">
        <v>1</v>
      </c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</row>
    <row r="587" spans="1:52" ht="0.75" customHeight="1" x14ac:dyDescent="0.65">
      <c r="A587" s="5">
        <v>2</v>
      </c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</row>
    <row r="588" spans="1:52" ht="0.75" customHeight="1" x14ac:dyDescent="0.65">
      <c r="A588" s="5">
        <v>3</v>
      </c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</row>
    <row r="589" spans="1:52" ht="0.75" customHeight="1" x14ac:dyDescent="0.65">
      <c r="A589" s="5">
        <v>4</v>
      </c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</row>
    <row r="590" spans="1:52" ht="0.75" customHeight="1" x14ac:dyDescent="0.65">
      <c r="A590" s="5">
        <v>5</v>
      </c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</row>
    <row r="591" spans="1:52" ht="0.75" customHeight="1" x14ac:dyDescent="0.65">
      <c r="A591" s="5">
        <v>6</v>
      </c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</row>
    <row r="592" spans="1:52" ht="0.75" customHeight="1" x14ac:dyDescent="0.65">
      <c r="A592" s="5">
        <v>7</v>
      </c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</row>
    <row r="593" spans="1:52" ht="0.75" customHeight="1" x14ac:dyDescent="0.65">
      <c r="A593" s="5">
        <v>8</v>
      </c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</row>
    <row r="594" spans="1:52" ht="0.75" customHeight="1" x14ac:dyDescent="0.65">
      <c r="A594" s="5">
        <v>9</v>
      </c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</row>
    <row r="595" spans="1:52" ht="0.75" customHeight="1" x14ac:dyDescent="0.65">
      <c r="A595" s="5">
        <v>10</v>
      </c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</row>
    <row r="596" spans="1:52" ht="0.75" customHeight="1" x14ac:dyDescent="0.65">
      <c r="A596" s="5">
        <v>11</v>
      </c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</row>
    <row r="597" spans="1:52" ht="0.75" customHeight="1" x14ac:dyDescent="0.65">
      <c r="A597" s="5">
        <v>12</v>
      </c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</row>
    <row r="598" spans="1:52" ht="0.75" customHeight="1" x14ac:dyDescent="0.65">
      <c r="A598" s="5">
        <v>13</v>
      </c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</row>
    <row r="599" spans="1:52" ht="0.75" customHeight="1" x14ac:dyDescent="0.65">
      <c r="A599" s="5">
        <v>14</v>
      </c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</row>
    <row r="600" spans="1:52" ht="0.75" customHeight="1" x14ac:dyDescent="0.65">
      <c r="A600" s="5">
        <v>15</v>
      </c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</row>
    <row r="601" spans="1:52" ht="0.75" customHeight="1" x14ac:dyDescent="0.65">
      <c r="A601" s="5">
        <v>16</v>
      </c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</row>
    <row r="602" spans="1:52" ht="0.75" customHeight="1" x14ac:dyDescent="0.65">
      <c r="A602" s="5">
        <v>17</v>
      </c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</row>
    <row r="603" spans="1:52" ht="0.75" customHeight="1" x14ac:dyDescent="0.65">
      <c r="A603" s="5">
        <v>18</v>
      </c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</row>
    <row r="604" spans="1:52" ht="0.75" customHeight="1" x14ac:dyDescent="0.65">
      <c r="A604" s="5">
        <v>19</v>
      </c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</row>
    <row r="605" spans="1:52" ht="0.75" customHeight="1" x14ac:dyDescent="0.65">
      <c r="A605" s="5">
        <v>20</v>
      </c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</row>
    <row r="606" spans="1:52" ht="0.75" customHeight="1" x14ac:dyDescent="0.65">
      <c r="A606" s="5">
        <v>21</v>
      </c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</row>
    <row r="607" spans="1:52" ht="0.75" customHeight="1" x14ac:dyDescent="0.65">
      <c r="A607" s="5">
        <v>22</v>
      </c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</row>
    <row r="608" spans="1:52" ht="0.75" customHeight="1" x14ac:dyDescent="0.65">
      <c r="A608" s="5">
        <v>23</v>
      </c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</row>
    <row r="609" spans="1:52" ht="0.75" customHeight="1" x14ac:dyDescent="0.65">
      <c r="A609" s="5">
        <v>24</v>
      </c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</row>
    <row r="610" spans="1:52" ht="0.75" customHeight="1" x14ac:dyDescent="0.65">
      <c r="A610" s="5">
        <v>25</v>
      </c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</row>
    <row r="611" spans="1:52" ht="0.75" customHeight="1" x14ac:dyDescent="0.65">
      <c r="A611" s="5">
        <v>26</v>
      </c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</row>
    <row r="612" spans="1:52" ht="0.75" customHeight="1" x14ac:dyDescent="0.65">
      <c r="A612" s="5">
        <v>27</v>
      </c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</row>
    <row r="613" spans="1:52" ht="0.75" customHeight="1" x14ac:dyDescent="0.65">
      <c r="A613" s="5">
        <v>28</v>
      </c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</row>
    <row r="614" spans="1:52" ht="0.75" customHeight="1" x14ac:dyDescent="0.65">
      <c r="A614" s="5">
        <v>29</v>
      </c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</row>
    <row r="615" spans="1:52" ht="0.75" customHeight="1" x14ac:dyDescent="0.65">
      <c r="A615" s="5">
        <v>30</v>
      </c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</row>
    <row r="616" spans="1:52" ht="0.75" customHeight="1" x14ac:dyDescent="0.65">
      <c r="A616" s="5">
        <v>31</v>
      </c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</row>
    <row r="617" spans="1:52" ht="0.75" customHeight="1" x14ac:dyDescent="0.65">
      <c r="A617" s="5">
        <v>32</v>
      </c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</row>
    <row r="618" spans="1:52" ht="0.75" customHeight="1" x14ac:dyDescent="0.65">
      <c r="A618" s="5">
        <v>33</v>
      </c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</row>
    <row r="619" spans="1:52" ht="0.75" customHeight="1" x14ac:dyDescent="0.65">
      <c r="A619" s="5">
        <v>34</v>
      </c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</row>
    <row r="620" spans="1:52" ht="0.75" customHeight="1" x14ac:dyDescent="0.65">
      <c r="A620" s="5">
        <v>35</v>
      </c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</row>
    <row r="621" spans="1:52" ht="0.75" customHeight="1" x14ac:dyDescent="0.65">
      <c r="A621" s="5">
        <v>36</v>
      </c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</row>
    <row r="622" spans="1:52" ht="0.75" customHeight="1" x14ac:dyDescent="0.65">
      <c r="A622" s="5">
        <v>37</v>
      </c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</row>
    <row r="623" spans="1:52" ht="0.75" customHeight="1" x14ac:dyDescent="0.65">
      <c r="A623" s="5">
        <v>38</v>
      </c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</row>
    <row r="624" spans="1:52" ht="0.75" customHeight="1" x14ac:dyDescent="0.65">
      <c r="A624" s="5">
        <v>39</v>
      </c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</row>
    <row r="625" spans="1:52" ht="0.75" customHeight="1" x14ac:dyDescent="0.65">
      <c r="A625" s="5">
        <v>40</v>
      </c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</row>
    <row r="626" spans="1:52" ht="0.75" customHeight="1" x14ac:dyDescent="0.65">
      <c r="A626" s="5">
        <v>41</v>
      </c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</row>
    <row r="627" spans="1:52" ht="0.75" customHeight="1" x14ac:dyDescent="0.65">
      <c r="A627" s="5">
        <v>42</v>
      </c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</row>
    <row r="628" spans="1:52" ht="0.75" customHeight="1" x14ac:dyDescent="0.65">
      <c r="A628" s="5">
        <v>43</v>
      </c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</row>
    <row r="629" spans="1:52" ht="0.75" customHeight="1" x14ac:dyDescent="0.65">
      <c r="A629" s="5">
        <v>44</v>
      </c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</row>
    <row r="630" spans="1:52" ht="0.75" customHeight="1" x14ac:dyDescent="0.65">
      <c r="A630" s="5">
        <v>45</v>
      </c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</row>
    <row r="631" spans="1:52" ht="0.75" customHeight="1" x14ac:dyDescent="0.65">
      <c r="A631" s="5">
        <v>46</v>
      </c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</row>
    <row r="632" spans="1:52" ht="0.75" customHeight="1" x14ac:dyDescent="0.65">
      <c r="A632" s="5">
        <v>47</v>
      </c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</row>
    <row r="633" spans="1:52" ht="0.75" customHeight="1" x14ac:dyDescent="0.65">
      <c r="A633" s="5">
        <v>48</v>
      </c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</row>
    <row r="634" spans="1:52" ht="0.75" customHeight="1" x14ac:dyDescent="0.65">
      <c r="A634" s="5">
        <v>49</v>
      </c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</row>
    <row r="635" spans="1:52" ht="0.75" customHeight="1" x14ac:dyDescent="0.65">
      <c r="A635" s="5">
        <v>50</v>
      </c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</row>
    <row r="636" spans="1:52" x14ac:dyDescent="0.65"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</row>
    <row r="637" spans="1:52" x14ac:dyDescent="0.65"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</row>
    <row r="638" spans="1:52" x14ac:dyDescent="0.65"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</row>
    <row r="639" spans="1:52" x14ac:dyDescent="0.65"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</row>
    <row r="640" spans="1:52" x14ac:dyDescent="0.65"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</row>
    <row r="641" spans="20:52" x14ac:dyDescent="0.65"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</row>
    <row r="642" spans="20:52" x14ac:dyDescent="0.65"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</row>
    <row r="643" spans="20:52" x14ac:dyDescent="0.65"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</row>
    <row r="644" spans="20:52" x14ac:dyDescent="0.65"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</row>
    <row r="645" spans="20:52" x14ac:dyDescent="0.65"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</row>
    <row r="646" spans="20:52" x14ac:dyDescent="0.65"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</row>
    <row r="647" spans="20:52" x14ac:dyDescent="0.65"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</row>
    <row r="648" spans="20:52" x14ac:dyDescent="0.65"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</row>
    <row r="649" spans="20:52" x14ac:dyDescent="0.65"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</row>
    <row r="650" spans="20:52" x14ac:dyDescent="0.65"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</row>
    <row r="651" spans="20:52" x14ac:dyDescent="0.65"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</row>
    <row r="652" spans="20:52" x14ac:dyDescent="0.65"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</row>
    <row r="653" spans="20:52" x14ac:dyDescent="0.65"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</row>
    <row r="654" spans="20:52" x14ac:dyDescent="0.65"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</row>
    <row r="655" spans="20:52" x14ac:dyDescent="0.65"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</row>
    <row r="656" spans="20:52" x14ac:dyDescent="0.65"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</row>
    <row r="657" spans="20:52" x14ac:dyDescent="0.65"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</row>
    <row r="658" spans="20:52" x14ac:dyDescent="0.65"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</row>
    <row r="659" spans="20:52" x14ac:dyDescent="0.65"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</row>
    <row r="660" spans="20:52" x14ac:dyDescent="0.65"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</row>
    <row r="661" spans="20:52" x14ac:dyDescent="0.65"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</row>
    <row r="662" spans="20:52" x14ac:dyDescent="0.65"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</row>
    <row r="663" spans="20:52" x14ac:dyDescent="0.65"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</row>
    <row r="664" spans="20:52" x14ac:dyDescent="0.65"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</row>
    <row r="665" spans="20:52" x14ac:dyDescent="0.65"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</row>
    <row r="666" spans="20:52" x14ac:dyDescent="0.65"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</row>
    <row r="667" spans="20:52" x14ac:dyDescent="0.65"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</row>
    <row r="668" spans="20:52" x14ac:dyDescent="0.65"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</row>
    <row r="669" spans="20:52" x14ac:dyDescent="0.65"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</row>
    <row r="670" spans="20:52" x14ac:dyDescent="0.65"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</row>
    <row r="671" spans="20:52" x14ac:dyDescent="0.65"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</row>
    <row r="672" spans="20:52" x14ac:dyDescent="0.65"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</row>
    <row r="673" spans="20:52" x14ac:dyDescent="0.65"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</row>
    <row r="674" spans="20:52" x14ac:dyDescent="0.65"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</row>
    <row r="675" spans="20:52" x14ac:dyDescent="0.65"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</row>
    <row r="676" spans="20:52" x14ac:dyDescent="0.65"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</row>
    <row r="677" spans="20:52" x14ac:dyDescent="0.65"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</row>
    <row r="678" spans="20:52" x14ac:dyDescent="0.65"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</row>
    <row r="679" spans="20:52" x14ac:dyDescent="0.65"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</row>
    <row r="680" spans="20:52" x14ac:dyDescent="0.65"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</row>
    <row r="681" spans="20:52" x14ac:dyDescent="0.65"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</row>
    <row r="682" spans="20:52" x14ac:dyDescent="0.65"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</row>
    <row r="683" spans="20:52" x14ac:dyDescent="0.65"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</row>
    <row r="684" spans="20:52" x14ac:dyDescent="0.65"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</row>
    <row r="685" spans="20:52" x14ac:dyDescent="0.65"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</row>
    <row r="686" spans="20:52" x14ac:dyDescent="0.65"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</row>
    <row r="687" spans="20:52" x14ac:dyDescent="0.65"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</row>
    <row r="688" spans="20:52" x14ac:dyDescent="0.65"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</row>
    <row r="689" spans="20:52" x14ac:dyDescent="0.65"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</row>
    <row r="690" spans="20:52" x14ac:dyDescent="0.65"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</row>
    <row r="691" spans="20:52" x14ac:dyDescent="0.65"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</row>
    <row r="692" spans="20:52" x14ac:dyDescent="0.65"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</row>
    <row r="693" spans="20:52" x14ac:dyDescent="0.65"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</row>
    <row r="694" spans="20:52" x14ac:dyDescent="0.65"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</row>
    <row r="695" spans="20:52" x14ac:dyDescent="0.65"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</row>
    <row r="696" spans="20:52" x14ac:dyDescent="0.65"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</row>
    <row r="697" spans="20:52" x14ac:dyDescent="0.65"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</row>
    <row r="698" spans="20:52" x14ac:dyDescent="0.65"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</row>
    <row r="699" spans="20:52" x14ac:dyDescent="0.65"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</row>
    <row r="700" spans="20:52" x14ac:dyDescent="0.65"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</row>
    <row r="701" spans="20:52" x14ac:dyDescent="0.65"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</row>
    <row r="702" spans="20:52" x14ac:dyDescent="0.65"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</row>
    <row r="703" spans="20:52" x14ac:dyDescent="0.65"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</row>
    <row r="704" spans="20:52" x14ac:dyDescent="0.65"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</row>
    <row r="705" spans="20:52" x14ac:dyDescent="0.65"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</row>
    <row r="706" spans="20:52" x14ac:dyDescent="0.65"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</row>
    <row r="707" spans="20:52" x14ac:dyDescent="0.65"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</row>
    <row r="708" spans="20:52" x14ac:dyDescent="0.65"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</row>
    <row r="709" spans="20:52" x14ac:dyDescent="0.65"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</row>
    <row r="710" spans="20:52" x14ac:dyDescent="0.65"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</row>
    <row r="711" spans="20:52" x14ac:dyDescent="0.65"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</row>
    <row r="712" spans="20:52" x14ac:dyDescent="0.65"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</row>
    <row r="713" spans="20:52" x14ac:dyDescent="0.65"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</row>
    <row r="714" spans="20:52" x14ac:dyDescent="0.65"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</row>
    <row r="715" spans="20:52" x14ac:dyDescent="0.65"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</row>
    <row r="716" spans="20:52" x14ac:dyDescent="0.65"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</row>
    <row r="717" spans="20:52" x14ac:dyDescent="0.65"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</row>
    <row r="718" spans="20:52" x14ac:dyDescent="0.65"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</row>
    <row r="719" spans="20:52" x14ac:dyDescent="0.65"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</row>
    <row r="720" spans="20:52" x14ac:dyDescent="0.65"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</row>
    <row r="721" spans="20:52" x14ac:dyDescent="0.65"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</row>
    <row r="722" spans="20:52" x14ac:dyDescent="0.65"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</row>
    <row r="723" spans="20:52" x14ac:dyDescent="0.65"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</row>
    <row r="724" spans="20:52" x14ac:dyDescent="0.65"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</row>
    <row r="725" spans="20:52" x14ac:dyDescent="0.65"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</row>
    <row r="726" spans="20:52" x14ac:dyDescent="0.65"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</row>
    <row r="727" spans="20:52" x14ac:dyDescent="0.65"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</row>
    <row r="728" spans="20:52" x14ac:dyDescent="0.65"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</row>
    <row r="729" spans="20:52" x14ac:dyDescent="0.65"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</row>
    <row r="730" spans="20:52" x14ac:dyDescent="0.65"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</row>
    <row r="731" spans="20:52" x14ac:dyDescent="0.65"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</row>
    <row r="732" spans="20:52" x14ac:dyDescent="0.65"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</row>
    <row r="733" spans="20:52" x14ac:dyDescent="0.65"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</row>
    <row r="734" spans="20:52" x14ac:dyDescent="0.65"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</row>
    <row r="735" spans="20:52" x14ac:dyDescent="0.65"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</row>
    <row r="736" spans="20:52" x14ac:dyDescent="0.65"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</row>
    <row r="737" spans="20:52" x14ac:dyDescent="0.65"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</row>
    <row r="738" spans="20:52" x14ac:dyDescent="0.65"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</row>
    <row r="739" spans="20:52" x14ac:dyDescent="0.65"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</row>
    <row r="740" spans="20:52" x14ac:dyDescent="0.65"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</row>
    <row r="741" spans="20:52" x14ac:dyDescent="0.65"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</row>
    <row r="742" spans="20:52" x14ac:dyDescent="0.65"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</row>
    <row r="743" spans="20:52" x14ac:dyDescent="0.65"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</row>
    <row r="744" spans="20:52" x14ac:dyDescent="0.65"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</row>
    <row r="745" spans="20:52" x14ac:dyDescent="0.65"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</row>
    <row r="746" spans="20:52" x14ac:dyDescent="0.65"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</row>
    <row r="747" spans="20:52" x14ac:dyDescent="0.65"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</row>
    <row r="748" spans="20:52" x14ac:dyDescent="0.65"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</row>
    <row r="749" spans="20:52" x14ac:dyDescent="0.65"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</row>
    <row r="750" spans="20:52" x14ac:dyDescent="0.65">
      <c r="T750" s="109"/>
      <c r="U750" s="109"/>
      <c r="V750" s="109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</row>
    <row r="751" spans="20:52" x14ac:dyDescent="0.65">
      <c r="T751" s="109"/>
      <c r="U751" s="109"/>
      <c r="V751" s="109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0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</row>
    <row r="752" spans="20:52" x14ac:dyDescent="0.65">
      <c r="T752" s="109"/>
      <c r="U752" s="109"/>
      <c r="V752" s="109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0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</row>
    <row r="753" spans="20:52" x14ac:dyDescent="0.65">
      <c r="T753" s="109"/>
      <c r="U753" s="109"/>
      <c r="V753" s="109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0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</row>
    <row r="754" spans="20:52" x14ac:dyDescent="0.65">
      <c r="T754" s="109"/>
      <c r="U754" s="109"/>
      <c r="V754" s="109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0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</row>
    <row r="755" spans="20:52" x14ac:dyDescent="0.65">
      <c r="T755" s="109"/>
      <c r="U755" s="109"/>
      <c r="V755" s="109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0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</row>
    <row r="756" spans="20:52" x14ac:dyDescent="0.65">
      <c r="T756" s="109"/>
      <c r="U756" s="109"/>
      <c r="V756" s="109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0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</row>
    <row r="757" spans="20:52" x14ac:dyDescent="0.65">
      <c r="T757" s="109"/>
      <c r="U757" s="109"/>
      <c r="V757" s="109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0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</row>
    <row r="758" spans="20:52" x14ac:dyDescent="0.65">
      <c r="T758" s="109"/>
      <c r="U758" s="109"/>
      <c r="V758" s="109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0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</row>
    <row r="759" spans="20:52" x14ac:dyDescent="0.65">
      <c r="T759" s="109"/>
      <c r="U759" s="109"/>
      <c r="V759" s="109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0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</row>
    <row r="760" spans="20:52" x14ac:dyDescent="0.65">
      <c r="T760" s="109"/>
      <c r="U760" s="109"/>
      <c r="V760" s="109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0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</row>
    <row r="761" spans="20:52" x14ac:dyDescent="0.65">
      <c r="T761" s="109"/>
      <c r="U761" s="109"/>
      <c r="V761" s="109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0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</row>
    <row r="762" spans="20:52" x14ac:dyDescent="0.65">
      <c r="T762" s="109"/>
      <c r="U762" s="109"/>
      <c r="V762" s="109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</row>
    <row r="763" spans="20:52" x14ac:dyDescent="0.65">
      <c r="T763" s="109"/>
      <c r="U763" s="109"/>
      <c r="V763" s="109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0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</row>
    <row r="764" spans="20:52" x14ac:dyDescent="0.65">
      <c r="T764" s="109"/>
      <c r="U764" s="109"/>
      <c r="V764" s="109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</row>
    <row r="765" spans="20:52" x14ac:dyDescent="0.65">
      <c r="T765" s="109"/>
      <c r="U765" s="109"/>
      <c r="V765" s="109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09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</row>
    <row r="766" spans="20:52" x14ac:dyDescent="0.65">
      <c r="T766" s="109"/>
      <c r="U766" s="109"/>
      <c r="V766" s="109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0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</row>
    <row r="767" spans="20:52" x14ac:dyDescent="0.65">
      <c r="T767" s="109"/>
      <c r="U767" s="109"/>
      <c r="V767" s="109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0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</row>
    <row r="768" spans="20:52" x14ac:dyDescent="0.65">
      <c r="T768" s="109"/>
      <c r="U768" s="109"/>
      <c r="V768" s="109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09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</row>
    <row r="769" spans="20:52" x14ac:dyDescent="0.65">
      <c r="T769" s="109"/>
      <c r="U769" s="109"/>
      <c r="V769" s="109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  <c r="AH769" s="109"/>
      <c r="AI769" s="109"/>
      <c r="AJ769" s="109"/>
      <c r="AK769" s="109"/>
      <c r="AL769" s="109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</row>
    <row r="770" spans="20:52" x14ac:dyDescent="0.65">
      <c r="T770" s="109"/>
      <c r="U770" s="109"/>
      <c r="V770" s="109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  <c r="AH770" s="109"/>
      <c r="AI770" s="109"/>
      <c r="AJ770" s="109"/>
      <c r="AK770" s="109"/>
      <c r="AL770" s="109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</row>
    <row r="771" spans="20:52" x14ac:dyDescent="0.65">
      <c r="T771" s="109"/>
      <c r="U771" s="109"/>
      <c r="V771" s="109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  <c r="AH771" s="109"/>
      <c r="AI771" s="109"/>
      <c r="AJ771" s="109"/>
      <c r="AK771" s="109"/>
      <c r="AL771" s="109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</row>
    <row r="772" spans="20:52" x14ac:dyDescent="0.65">
      <c r="T772" s="109"/>
      <c r="U772" s="109"/>
      <c r="V772" s="109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  <c r="AH772" s="109"/>
      <c r="AI772" s="109"/>
      <c r="AJ772" s="109"/>
      <c r="AK772" s="109"/>
      <c r="AL772" s="109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</row>
    <row r="773" spans="20:52" x14ac:dyDescent="0.65">
      <c r="T773" s="109"/>
      <c r="U773" s="109"/>
      <c r="V773" s="109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  <c r="AH773" s="109"/>
      <c r="AI773" s="109"/>
      <c r="AJ773" s="109"/>
      <c r="AK773" s="109"/>
      <c r="AL773" s="109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</row>
    <row r="774" spans="20:52" x14ac:dyDescent="0.65">
      <c r="T774" s="109"/>
      <c r="U774" s="109"/>
      <c r="V774" s="109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  <c r="AH774" s="109"/>
      <c r="AI774" s="109"/>
      <c r="AJ774" s="109"/>
      <c r="AK774" s="109"/>
      <c r="AL774" s="109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</row>
    <row r="775" spans="20:52" x14ac:dyDescent="0.65">
      <c r="T775" s="109"/>
      <c r="U775" s="109"/>
      <c r="V775" s="109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</row>
    <row r="776" spans="20:52" x14ac:dyDescent="0.65">
      <c r="T776" s="109"/>
      <c r="U776" s="109"/>
      <c r="V776" s="109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  <c r="AH776" s="109"/>
      <c r="AI776" s="109"/>
      <c r="AJ776" s="109"/>
      <c r="AK776" s="109"/>
      <c r="AL776" s="109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</row>
    <row r="777" spans="20:52" x14ac:dyDescent="0.65">
      <c r="T777" s="109"/>
      <c r="U777" s="109"/>
      <c r="V777" s="109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  <c r="AH777" s="109"/>
      <c r="AI777" s="109"/>
      <c r="AJ777" s="109"/>
      <c r="AK777" s="109"/>
      <c r="AL777" s="109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  <c r="AZ777" s="109"/>
    </row>
    <row r="778" spans="20:52" x14ac:dyDescent="0.65">
      <c r="T778" s="109"/>
      <c r="U778" s="109"/>
      <c r="V778" s="109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  <c r="AH778" s="109"/>
      <c r="AI778" s="109"/>
      <c r="AJ778" s="109"/>
      <c r="AK778" s="109"/>
      <c r="AL778" s="109"/>
      <c r="AM778" s="109"/>
      <c r="AN778" s="109"/>
      <c r="AO778" s="109"/>
      <c r="AP778" s="109"/>
      <c r="AQ778" s="109"/>
      <c r="AR778" s="109"/>
      <c r="AS778" s="109"/>
      <c r="AT778" s="109"/>
      <c r="AU778" s="109"/>
      <c r="AV778" s="109"/>
      <c r="AW778" s="109"/>
      <c r="AX778" s="109"/>
      <c r="AY778" s="109"/>
      <c r="AZ778" s="109"/>
    </row>
    <row r="779" spans="20:52" x14ac:dyDescent="0.65">
      <c r="T779" s="109"/>
      <c r="U779" s="109"/>
      <c r="V779" s="109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  <c r="AH779" s="109"/>
      <c r="AI779" s="109"/>
      <c r="AJ779" s="109"/>
      <c r="AK779" s="109"/>
      <c r="AL779" s="109"/>
      <c r="AM779" s="109"/>
      <c r="AN779" s="109"/>
      <c r="AO779" s="109"/>
      <c r="AP779" s="109"/>
      <c r="AQ779" s="109"/>
      <c r="AR779" s="109"/>
      <c r="AS779" s="109"/>
      <c r="AT779" s="109"/>
      <c r="AU779" s="109"/>
      <c r="AV779" s="109"/>
      <c r="AW779" s="109"/>
      <c r="AX779" s="109"/>
      <c r="AY779" s="109"/>
      <c r="AZ779" s="109"/>
    </row>
    <row r="780" spans="20:52" x14ac:dyDescent="0.65">
      <c r="T780" s="109"/>
      <c r="U780" s="109"/>
      <c r="V780" s="109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  <c r="AH780" s="109"/>
      <c r="AI780" s="109"/>
      <c r="AJ780" s="109"/>
      <c r="AK780" s="109"/>
      <c r="AL780" s="109"/>
      <c r="AM780" s="109"/>
      <c r="AN780" s="109"/>
      <c r="AO780" s="109"/>
      <c r="AP780" s="109"/>
      <c r="AQ780" s="109"/>
      <c r="AR780" s="109"/>
      <c r="AS780" s="109"/>
      <c r="AT780" s="109"/>
      <c r="AU780" s="109"/>
      <c r="AV780" s="109"/>
      <c r="AW780" s="109"/>
      <c r="AX780" s="109"/>
      <c r="AY780" s="109"/>
      <c r="AZ780" s="109"/>
    </row>
    <row r="781" spans="20:52" x14ac:dyDescent="0.65">
      <c r="T781" s="109"/>
      <c r="U781" s="109"/>
      <c r="V781" s="109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  <c r="AH781" s="109"/>
      <c r="AI781" s="109"/>
      <c r="AJ781" s="109"/>
      <c r="AK781" s="109"/>
      <c r="AL781" s="109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  <c r="AZ781" s="109"/>
    </row>
    <row r="782" spans="20:52" x14ac:dyDescent="0.65">
      <c r="T782" s="109"/>
      <c r="U782" s="109"/>
      <c r="V782" s="109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</row>
    <row r="783" spans="20:52" x14ac:dyDescent="0.65">
      <c r="T783" s="109"/>
      <c r="U783" s="109"/>
      <c r="V783" s="109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  <c r="AH783" s="109"/>
      <c r="AI783" s="109"/>
      <c r="AJ783" s="109"/>
      <c r="AK783" s="109"/>
      <c r="AL783" s="109"/>
      <c r="AM783" s="109"/>
      <c r="AN783" s="109"/>
      <c r="AO783" s="109"/>
      <c r="AP783" s="109"/>
      <c r="AQ783" s="109"/>
      <c r="AR783" s="109"/>
      <c r="AS783" s="109"/>
      <c r="AT783" s="109"/>
      <c r="AU783" s="109"/>
      <c r="AV783" s="109"/>
      <c r="AW783" s="109"/>
      <c r="AX783" s="109"/>
      <c r="AY783" s="109"/>
      <c r="AZ783" s="109"/>
    </row>
    <row r="784" spans="20:52" x14ac:dyDescent="0.65">
      <c r="T784" s="109"/>
      <c r="U784" s="109"/>
      <c r="V784" s="109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  <c r="AH784" s="109"/>
      <c r="AI784" s="109"/>
      <c r="AJ784" s="109"/>
      <c r="AK784" s="109"/>
      <c r="AL784" s="109"/>
      <c r="AM784" s="109"/>
      <c r="AN784" s="109"/>
      <c r="AO784" s="109"/>
      <c r="AP784" s="109"/>
      <c r="AQ784" s="109"/>
      <c r="AR784" s="109"/>
      <c r="AS784" s="109"/>
      <c r="AT784" s="109"/>
      <c r="AU784" s="109"/>
      <c r="AV784" s="109"/>
      <c r="AW784" s="109"/>
      <c r="AX784" s="109"/>
      <c r="AY784" s="109"/>
      <c r="AZ784" s="109"/>
    </row>
    <row r="785" spans="20:52" x14ac:dyDescent="0.65">
      <c r="T785" s="109"/>
      <c r="U785" s="109"/>
      <c r="V785" s="109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09"/>
      <c r="AM785" s="109"/>
      <c r="AN785" s="109"/>
      <c r="AO785" s="109"/>
      <c r="AP785" s="109"/>
      <c r="AQ785" s="109"/>
      <c r="AR785" s="109"/>
      <c r="AS785" s="109"/>
      <c r="AT785" s="109"/>
      <c r="AU785" s="109"/>
      <c r="AV785" s="109"/>
      <c r="AW785" s="109"/>
      <c r="AX785" s="109"/>
      <c r="AY785" s="109"/>
      <c r="AZ785" s="109"/>
    </row>
    <row r="786" spans="20:52" x14ac:dyDescent="0.65">
      <c r="T786" s="109"/>
      <c r="U786" s="109"/>
      <c r="V786" s="109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  <c r="AH786" s="109"/>
      <c r="AI786" s="109"/>
      <c r="AJ786" s="109"/>
      <c r="AK786" s="109"/>
      <c r="AL786" s="109"/>
      <c r="AM786" s="109"/>
      <c r="AN786" s="109"/>
      <c r="AO786" s="109"/>
      <c r="AP786" s="109"/>
      <c r="AQ786" s="109"/>
      <c r="AR786" s="109"/>
      <c r="AS786" s="109"/>
      <c r="AT786" s="109"/>
      <c r="AU786" s="109"/>
      <c r="AV786" s="109"/>
      <c r="AW786" s="109"/>
      <c r="AX786" s="109"/>
      <c r="AY786" s="109"/>
      <c r="AZ786" s="109"/>
    </row>
    <row r="787" spans="20:52" x14ac:dyDescent="0.65">
      <c r="T787" s="109"/>
      <c r="U787" s="109"/>
      <c r="V787" s="109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  <c r="AH787" s="109"/>
      <c r="AI787" s="109"/>
      <c r="AJ787" s="109"/>
      <c r="AK787" s="109"/>
      <c r="AL787" s="109"/>
      <c r="AM787" s="109"/>
      <c r="AN787" s="109"/>
      <c r="AO787" s="109"/>
      <c r="AP787" s="109"/>
      <c r="AQ787" s="109"/>
      <c r="AR787" s="109"/>
      <c r="AS787" s="109"/>
      <c r="AT787" s="109"/>
      <c r="AU787" s="109"/>
      <c r="AV787" s="109"/>
      <c r="AW787" s="109"/>
      <c r="AX787" s="109"/>
      <c r="AY787" s="109"/>
      <c r="AZ787" s="109"/>
    </row>
    <row r="788" spans="20:52" x14ac:dyDescent="0.65">
      <c r="T788" s="109"/>
      <c r="U788" s="109"/>
      <c r="V788" s="109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09"/>
      <c r="AM788" s="109"/>
      <c r="AN788" s="109"/>
      <c r="AO788" s="109"/>
      <c r="AP788" s="109"/>
      <c r="AQ788" s="109"/>
      <c r="AR788" s="109"/>
      <c r="AS788" s="109"/>
      <c r="AT788" s="109"/>
      <c r="AU788" s="109"/>
      <c r="AV788" s="109"/>
      <c r="AW788" s="109"/>
      <c r="AX788" s="109"/>
      <c r="AY788" s="109"/>
      <c r="AZ788" s="109"/>
    </row>
    <row r="789" spans="20:52" x14ac:dyDescent="0.65">
      <c r="T789" s="109"/>
      <c r="U789" s="109"/>
      <c r="V789" s="109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09"/>
      <c r="AM789" s="109"/>
      <c r="AN789" s="109"/>
      <c r="AO789" s="109"/>
      <c r="AP789" s="109"/>
      <c r="AQ789" s="109"/>
      <c r="AR789" s="109"/>
      <c r="AS789" s="109"/>
      <c r="AT789" s="109"/>
      <c r="AU789" s="109"/>
      <c r="AV789" s="109"/>
      <c r="AW789" s="109"/>
      <c r="AX789" s="109"/>
      <c r="AY789" s="109"/>
      <c r="AZ789" s="109"/>
    </row>
    <row r="790" spans="20:52" x14ac:dyDescent="0.65">
      <c r="T790" s="109"/>
      <c r="U790" s="109"/>
      <c r="V790" s="109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09"/>
      <c r="AM790" s="109"/>
      <c r="AN790" s="109"/>
      <c r="AO790" s="109"/>
      <c r="AP790" s="109"/>
      <c r="AQ790" s="109"/>
      <c r="AR790" s="109"/>
      <c r="AS790" s="109"/>
      <c r="AT790" s="109"/>
      <c r="AU790" s="109"/>
      <c r="AV790" s="109"/>
      <c r="AW790" s="109"/>
      <c r="AX790" s="109"/>
      <c r="AY790" s="109"/>
      <c r="AZ790" s="109"/>
    </row>
    <row r="791" spans="20:52" x14ac:dyDescent="0.65">
      <c r="T791" s="109"/>
      <c r="U791" s="109"/>
      <c r="V791" s="109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  <c r="AH791" s="109"/>
      <c r="AI791" s="109"/>
      <c r="AJ791" s="109"/>
      <c r="AK791" s="109"/>
      <c r="AL791" s="109"/>
      <c r="AM791" s="109"/>
      <c r="AN791" s="109"/>
      <c r="AO791" s="109"/>
      <c r="AP791" s="109"/>
      <c r="AQ791" s="109"/>
      <c r="AR791" s="109"/>
      <c r="AS791" s="109"/>
      <c r="AT791" s="109"/>
      <c r="AU791" s="109"/>
      <c r="AV791" s="109"/>
      <c r="AW791" s="109"/>
      <c r="AX791" s="109"/>
      <c r="AY791" s="109"/>
      <c r="AZ791" s="109"/>
    </row>
    <row r="792" spans="20:52" x14ac:dyDescent="0.65">
      <c r="T792" s="109"/>
      <c r="U792" s="109"/>
      <c r="V792" s="109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  <c r="AZ792" s="109"/>
    </row>
    <row r="793" spans="20:52" x14ac:dyDescent="0.65">
      <c r="T793" s="109"/>
      <c r="U793" s="109"/>
      <c r="V793" s="109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  <c r="AH793" s="109"/>
      <c r="AI793" s="109"/>
      <c r="AJ793" s="109"/>
      <c r="AK793" s="109"/>
      <c r="AL793" s="109"/>
      <c r="AM793" s="109"/>
      <c r="AN793" s="109"/>
      <c r="AO793" s="109"/>
      <c r="AP793" s="109"/>
      <c r="AQ793" s="109"/>
      <c r="AR793" s="109"/>
      <c r="AS793" s="109"/>
      <c r="AT793" s="109"/>
      <c r="AU793" s="109"/>
      <c r="AV793" s="109"/>
      <c r="AW793" s="109"/>
      <c r="AX793" s="109"/>
      <c r="AY793" s="109"/>
      <c r="AZ793" s="109"/>
    </row>
    <row r="794" spans="20:52" x14ac:dyDescent="0.65">
      <c r="T794" s="109"/>
      <c r="U794" s="109"/>
      <c r="V794" s="109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  <c r="AH794" s="109"/>
      <c r="AI794" s="109"/>
      <c r="AJ794" s="109"/>
      <c r="AK794" s="109"/>
      <c r="AL794" s="109"/>
      <c r="AM794" s="109"/>
      <c r="AN794" s="109"/>
      <c r="AO794" s="109"/>
      <c r="AP794" s="109"/>
      <c r="AQ794" s="109"/>
      <c r="AR794" s="109"/>
      <c r="AS794" s="109"/>
      <c r="AT794" s="109"/>
      <c r="AU794" s="109"/>
      <c r="AV794" s="109"/>
      <c r="AW794" s="109"/>
      <c r="AX794" s="109"/>
      <c r="AY794" s="109"/>
      <c r="AZ794" s="109"/>
    </row>
    <row r="795" spans="20:52" x14ac:dyDescent="0.65">
      <c r="T795" s="109"/>
      <c r="U795" s="109"/>
      <c r="V795" s="109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  <c r="AH795" s="109"/>
      <c r="AI795" s="109"/>
      <c r="AJ795" s="109"/>
      <c r="AK795" s="109"/>
      <c r="AL795" s="109"/>
      <c r="AM795" s="109"/>
      <c r="AN795" s="109"/>
      <c r="AO795" s="109"/>
      <c r="AP795" s="109"/>
      <c r="AQ795" s="109"/>
      <c r="AR795" s="109"/>
      <c r="AS795" s="109"/>
      <c r="AT795" s="109"/>
      <c r="AU795" s="109"/>
      <c r="AV795" s="109"/>
      <c r="AW795" s="109"/>
      <c r="AX795" s="109"/>
      <c r="AY795" s="109"/>
      <c r="AZ795" s="109"/>
    </row>
    <row r="796" spans="20:52" x14ac:dyDescent="0.65">
      <c r="T796" s="109"/>
      <c r="U796" s="109"/>
      <c r="V796" s="109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  <c r="AZ796" s="109"/>
    </row>
    <row r="797" spans="20:52" x14ac:dyDescent="0.65">
      <c r="T797" s="109"/>
      <c r="U797" s="109"/>
      <c r="V797" s="109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  <c r="AH797" s="109"/>
      <c r="AI797" s="109"/>
      <c r="AJ797" s="109"/>
      <c r="AK797" s="109"/>
      <c r="AL797" s="109"/>
      <c r="AM797" s="109"/>
      <c r="AN797" s="109"/>
      <c r="AO797" s="109"/>
      <c r="AP797" s="109"/>
      <c r="AQ797" s="109"/>
      <c r="AR797" s="109"/>
      <c r="AS797" s="109"/>
      <c r="AT797" s="109"/>
      <c r="AU797" s="109"/>
      <c r="AV797" s="109"/>
      <c r="AW797" s="109"/>
      <c r="AX797" s="109"/>
      <c r="AY797" s="109"/>
      <c r="AZ797" s="109"/>
    </row>
    <row r="798" spans="20:52" x14ac:dyDescent="0.65">
      <c r="T798" s="109"/>
      <c r="U798" s="109"/>
      <c r="V798" s="109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  <c r="AH798" s="109"/>
      <c r="AI798" s="109"/>
      <c r="AJ798" s="109"/>
      <c r="AK798" s="109"/>
      <c r="AL798" s="109"/>
      <c r="AM798" s="109"/>
      <c r="AN798" s="109"/>
      <c r="AO798" s="109"/>
      <c r="AP798" s="109"/>
      <c r="AQ798" s="109"/>
      <c r="AR798" s="109"/>
      <c r="AS798" s="109"/>
      <c r="AT798" s="109"/>
      <c r="AU798" s="109"/>
      <c r="AV798" s="109"/>
      <c r="AW798" s="109"/>
      <c r="AX798" s="109"/>
      <c r="AY798" s="109"/>
      <c r="AZ798" s="109"/>
    </row>
    <row r="799" spans="20:52" x14ac:dyDescent="0.65">
      <c r="T799" s="109"/>
      <c r="U799" s="109"/>
      <c r="V799" s="109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  <c r="AH799" s="109"/>
      <c r="AI799" s="109"/>
      <c r="AJ799" s="109"/>
      <c r="AK799" s="109"/>
      <c r="AL799" s="109"/>
      <c r="AM799" s="109"/>
      <c r="AN799" s="109"/>
      <c r="AO799" s="109"/>
      <c r="AP799" s="109"/>
      <c r="AQ799" s="109"/>
      <c r="AR799" s="109"/>
      <c r="AS799" s="109"/>
      <c r="AT799" s="109"/>
      <c r="AU799" s="109"/>
      <c r="AV799" s="109"/>
      <c r="AW799" s="109"/>
      <c r="AX799" s="109"/>
      <c r="AY799" s="109"/>
      <c r="AZ799" s="109"/>
    </row>
    <row r="800" spans="20:52" x14ac:dyDescent="0.65">
      <c r="T800" s="109"/>
      <c r="U800" s="109"/>
      <c r="V800" s="109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  <c r="AH800" s="109"/>
      <c r="AI800" s="109"/>
      <c r="AJ800" s="109"/>
      <c r="AK800" s="109"/>
      <c r="AL800" s="109"/>
      <c r="AM800" s="109"/>
      <c r="AN800" s="109"/>
      <c r="AO800" s="109"/>
      <c r="AP800" s="109"/>
      <c r="AQ800" s="109"/>
      <c r="AR800" s="109"/>
      <c r="AS800" s="109"/>
      <c r="AT800" s="109"/>
      <c r="AU800" s="109"/>
      <c r="AV800" s="109"/>
      <c r="AW800" s="109"/>
      <c r="AX800" s="109"/>
      <c r="AY800" s="109"/>
      <c r="AZ800" s="109"/>
    </row>
    <row r="801" spans="20:52" x14ac:dyDescent="0.65">
      <c r="T801" s="109"/>
      <c r="U801" s="109"/>
      <c r="V801" s="109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  <c r="AH801" s="109"/>
      <c r="AI801" s="109"/>
      <c r="AJ801" s="109"/>
      <c r="AK801" s="109"/>
      <c r="AL801" s="109"/>
      <c r="AM801" s="109"/>
      <c r="AN801" s="109"/>
      <c r="AO801" s="109"/>
      <c r="AP801" s="109"/>
      <c r="AQ801" s="109"/>
      <c r="AR801" s="109"/>
      <c r="AS801" s="109"/>
      <c r="AT801" s="109"/>
      <c r="AU801" s="109"/>
      <c r="AV801" s="109"/>
      <c r="AW801" s="109"/>
      <c r="AX801" s="109"/>
      <c r="AY801" s="109"/>
      <c r="AZ801" s="109"/>
    </row>
    <row r="802" spans="20:52" x14ac:dyDescent="0.65">
      <c r="T802" s="109"/>
      <c r="U802" s="109"/>
      <c r="V802" s="109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  <c r="AH802" s="109"/>
      <c r="AI802" s="109"/>
      <c r="AJ802" s="109"/>
      <c r="AK802" s="109"/>
      <c r="AL802" s="109"/>
      <c r="AM802" s="109"/>
      <c r="AN802" s="109"/>
      <c r="AO802" s="109"/>
      <c r="AP802" s="109"/>
      <c r="AQ802" s="109"/>
      <c r="AR802" s="109"/>
      <c r="AS802" s="109"/>
      <c r="AT802" s="109"/>
      <c r="AU802" s="109"/>
      <c r="AV802" s="109"/>
      <c r="AW802" s="109"/>
      <c r="AX802" s="109"/>
      <c r="AY802" s="109"/>
      <c r="AZ802" s="109"/>
    </row>
    <row r="803" spans="20:52" x14ac:dyDescent="0.65">
      <c r="T803" s="109"/>
      <c r="U803" s="109"/>
      <c r="V803" s="109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  <c r="AH803" s="109"/>
      <c r="AI803" s="109"/>
      <c r="AJ803" s="109"/>
      <c r="AK803" s="109"/>
      <c r="AL803" s="109"/>
      <c r="AM803" s="109"/>
      <c r="AN803" s="109"/>
      <c r="AO803" s="109"/>
      <c r="AP803" s="109"/>
      <c r="AQ803" s="109"/>
      <c r="AR803" s="109"/>
      <c r="AS803" s="109"/>
      <c r="AT803" s="109"/>
      <c r="AU803" s="109"/>
      <c r="AV803" s="109"/>
      <c r="AW803" s="109"/>
      <c r="AX803" s="109"/>
      <c r="AY803" s="109"/>
      <c r="AZ803" s="109"/>
    </row>
    <row r="804" spans="20:52" x14ac:dyDescent="0.65">
      <c r="T804" s="109"/>
      <c r="U804" s="109"/>
      <c r="V804" s="109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  <c r="AH804" s="109"/>
      <c r="AI804" s="109"/>
      <c r="AJ804" s="109"/>
      <c r="AK804" s="109"/>
      <c r="AL804" s="109"/>
      <c r="AM804" s="109"/>
      <c r="AN804" s="109"/>
      <c r="AO804" s="109"/>
      <c r="AP804" s="109"/>
      <c r="AQ804" s="109"/>
      <c r="AR804" s="109"/>
      <c r="AS804" s="109"/>
      <c r="AT804" s="109"/>
      <c r="AU804" s="109"/>
      <c r="AV804" s="109"/>
      <c r="AW804" s="109"/>
      <c r="AX804" s="109"/>
      <c r="AY804" s="109"/>
      <c r="AZ804" s="109"/>
    </row>
    <row r="805" spans="20:52" x14ac:dyDescent="0.65">
      <c r="T805" s="109"/>
      <c r="U805" s="109"/>
      <c r="V805" s="109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  <c r="AH805" s="109"/>
      <c r="AI805" s="109"/>
      <c r="AJ805" s="109"/>
      <c r="AK805" s="109"/>
      <c r="AL805" s="109"/>
      <c r="AM805" s="109"/>
      <c r="AN805" s="109"/>
      <c r="AO805" s="109"/>
      <c r="AP805" s="109"/>
      <c r="AQ805" s="109"/>
      <c r="AR805" s="109"/>
      <c r="AS805" s="109"/>
      <c r="AT805" s="109"/>
      <c r="AU805" s="109"/>
      <c r="AV805" s="109"/>
      <c r="AW805" s="109"/>
      <c r="AX805" s="109"/>
      <c r="AY805" s="109"/>
      <c r="AZ805" s="109"/>
    </row>
    <row r="806" spans="20:52" x14ac:dyDescent="0.65"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  <c r="AH806" s="109"/>
      <c r="AI806" s="109"/>
      <c r="AJ806" s="109"/>
      <c r="AK806" s="109"/>
      <c r="AL806" s="109"/>
      <c r="AM806" s="109"/>
      <c r="AN806" s="109"/>
      <c r="AO806" s="109"/>
      <c r="AP806" s="109"/>
      <c r="AQ806" s="109"/>
      <c r="AR806" s="109"/>
      <c r="AS806" s="109"/>
      <c r="AT806" s="109"/>
      <c r="AU806" s="109"/>
      <c r="AV806" s="109"/>
      <c r="AW806" s="109"/>
      <c r="AX806" s="109"/>
      <c r="AY806" s="109"/>
      <c r="AZ806" s="109"/>
    </row>
    <row r="807" spans="20:52" x14ac:dyDescent="0.65">
      <c r="T807" s="109"/>
      <c r="U807" s="109"/>
      <c r="V807" s="109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  <c r="AH807" s="109"/>
      <c r="AI807" s="109"/>
      <c r="AJ807" s="109"/>
      <c r="AK807" s="109"/>
      <c r="AL807" s="109"/>
      <c r="AM807" s="109"/>
      <c r="AN807" s="109"/>
      <c r="AO807" s="109"/>
      <c r="AP807" s="109"/>
      <c r="AQ807" s="109"/>
      <c r="AR807" s="109"/>
      <c r="AS807" s="109"/>
      <c r="AT807" s="109"/>
      <c r="AU807" s="109"/>
      <c r="AV807" s="109"/>
      <c r="AW807" s="109"/>
      <c r="AX807" s="109"/>
      <c r="AY807" s="109"/>
      <c r="AZ807" s="109"/>
    </row>
    <row r="808" spans="20:52" x14ac:dyDescent="0.65">
      <c r="T808" s="109"/>
      <c r="U808" s="109"/>
      <c r="V808" s="109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  <c r="AH808" s="109"/>
      <c r="AI808" s="109"/>
      <c r="AJ808" s="109"/>
      <c r="AK808" s="109"/>
      <c r="AL808" s="109"/>
      <c r="AM808" s="109"/>
      <c r="AN808" s="109"/>
      <c r="AO808" s="109"/>
      <c r="AP808" s="109"/>
      <c r="AQ808" s="109"/>
      <c r="AR808" s="109"/>
      <c r="AS808" s="109"/>
      <c r="AT808" s="109"/>
      <c r="AU808" s="109"/>
      <c r="AV808" s="109"/>
      <c r="AW808" s="109"/>
      <c r="AX808" s="109"/>
      <c r="AY808" s="109"/>
      <c r="AZ808" s="109"/>
    </row>
    <row r="809" spans="20:52" x14ac:dyDescent="0.65">
      <c r="T809" s="109"/>
      <c r="U809" s="109"/>
      <c r="V809" s="109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  <c r="AH809" s="109"/>
      <c r="AI809" s="109"/>
      <c r="AJ809" s="109"/>
      <c r="AK809" s="109"/>
      <c r="AL809" s="109"/>
      <c r="AM809" s="109"/>
      <c r="AN809" s="109"/>
      <c r="AO809" s="109"/>
      <c r="AP809" s="109"/>
      <c r="AQ809" s="109"/>
      <c r="AR809" s="109"/>
      <c r="AS809" s="109"/>
      <c r="AT809" s="109"/>
      <c r="AU809" s="109"/>
      <c r="AV809" s="109"/>
      <c r="AW809" s="109"/>
      <c r="AX809" s="109"/>
      <c r="AY809" s="109"/>
      <c r="AZ809" s="109"/>
    </row>
    <row r="810" spans="20:52" x14ac:dyDescent="0.65">
      <c r="T810" s="109"/>
      <c r="U810" s="109"/>
      <c r="V810" s="109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  <c r="AH810" s="109"/>
      <c r="AI810" s="109"/>
      <c r="AJ810" s="109"/>
      <c r="AK810" s="109"/>
      <c r="AL810" s="109"/>
      <c r="AM810" s="109"/>
      <c r="AN810" s="109"/>
      <c r="AO810" s="109"/>
      <c r="AP810" s="109"/>
      <c r="AQ810" s="109"/>
      <c r="AR810" s="109"/>
      <c r="AS810" s="109"/>
      <c r="AT810" s="109"/>
      <c r="AU810" s="109"/>
      <c r="AV810" s="109"/>
      <c r="AW810" s="109"/>
      <c r="AX810" s="109"/>
      <c r="AY810" s="109"/>
      <c r="AZ810" s="109"/>
    </row>
    <row r="811" spans="20:52" x14ac:dyDescent="0.65">
      <c r="T811" s="109"/>
      <c r="U811" s="109"/>
      <c r="V811" s="109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  <c r="AH811" s="109"/>
      <c r="AI811" s="109"/>
      <c r="AJ811" s="109"/>
      <c r="AK811" s="109"/>
      <c r="AL811" s="109"/>
      <c r="AM811" s="109"/>
      <c r="AN811" s="109"/>
      <c r="AO811" s="109"/>
      <c r="AP811" s="109"/>
      <c r="AQ811" s="109"/>
      <c r="AR811" s="109"/>
      <c r="AS811" s="109"/>
      <c r="AT811" s="109"/>
      <c r="AU811" s="109"/>
      <c r="AV811" s="109"/>
      <c r="AW811" s="109"/>
      <c r="AX811" s="109"/>
      <c r="AY811" s="109"/>
      <c r="AZ811" s="109"/>
    </row>
    <row r="812" spans="20:52" x14ac:dyDescent="0.65">
      <c r="T812" s="109"/>
      <c r="U812" s="109"/>
      <c r="V812" s="109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  <c r="AH812" s="109"/>
      <c r="AI812" s="109"/>
      <c r="AJ812" s="109"/>
      <c r="AK812" s="109"/>
      <c r="AL812" s="109"/>
      <c r="AM812" s="109"/>
      <c r="AN812" s="109"/>
      <c r="AO812" s="109"/>
      <c r="AP812" s="109"/>
      <c r="AQ812" s="109"/>
      <c r="AR812" s="109"/>
      <c r="AS812" s="109"/>
      <c r="AT812" s="109"/>
      <c r="AU812" s="109"/>
      <c r="AV812" s="109"/>
      <c r="AW812" s="109"/>
      <c r="AX812" s="109"/>
      <c r="AY812" s="109"/>
      <c r="AZ812" s="109"/>
    </row>
    <row r="813" spans="20:52" x14ac:dyDescent="0.65">
      <c r="T813" s="109"/>
      <c r="U813" s="109"/>
      <c r="V813" s="109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09"/>
      <c r="AI813" s="109"/>
      <c r="AJ813" s="109"/>
      <c r="AK813" s="109"/>
      <c r="AL813" s="109"/>
      <c r="AM813" s="109"/>
      <c r="AN813" s="109"/>
      <c r="AO813" s="109"/>
      <c r="AP813" s="109"/>
      <c r="AQ813" s="109"/>
      <c r="AR813" s="109"/>
      <c r="AS813" s="109"/>
      <c r="AT813" s="109"/>
      <c r="AU813" s="109"/>
      <c r="AV813" s="109"/>
      <c r="AW813" s="109"/>
      <c r="AX813" s="109"/>
      <c r="AY813" s="109"/>
      <c r="AZ813" s="109"/>
    </row>
    <row r="814" spans="20:52" x14ac:dyDescent="0.65">
      <c r="T814" s="109"/>
      <c r="U814" s="109"/>
      <c r="V814" s="109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  <c r="AH814" s="109"/>
      <c r="AI814" s="109"/>
      <c r="AJ814" s="109"/>
      <c r="AK814" s="109"/>
      <c r="AL814" s="109"/>
      <c r="AM814" s="109"/>
      <c r="AN814" s="109"/>
      <c r="AO814" s="109"/>
      <c r="AP814" s="109"/>
      <c r="AQ814" s="109"/>
      <c r="AR814" s="109"/>
      <c r="AS814" s="109"/>
      <c r="AT814" s="109"/>
      <c r="AU814" s="109"/>
      <c r="AV814" s="109"/>
      <c r="AW814" s="109"/>
      <c r="AX814" s="109"/>
      <c r="AY814" s="109"/>
      <c r="AZ814" s="109"/>
    </row>
    <row r="815" spans="20:52" x14ac:dyDescent="0.65">
      <c r="T815" s="109"/>
      <c r="U815" s="109"/>
      <c r="V815" s="109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  <c r="AH815" s="109"/>
      <c r="AI815" s="109"/>
      <c r="AJ815" s="109"/>
      <c r="AK815" s="109"/>
      <c r="AL815" s="109"/>
      <c r="AM815" s="109"/>
      <c r="AN815" s="109"/>
      <c r="AO815" s="109"/>
      <c r="AP815" s="109"/>
      <c r="AQ815" s="109"/>
      <c r="AR815" s="109"/>
      <c r="AS815" s="109"/>
      <c r="AT815" s="109"/>
      <c r="AU815" s="109"/>
      <c r="AV815" s="109"/>
      <c r="AW815" s="109"/>
      <c r="AX815" s="109"/>
      <c r="AY815" s="109"/>
      <c r="AZ815" s="109"/>
    </row>
    <row r="816" spans="20:52" x14ac:dyDescent="0.65">
      <c r="T816" s="109"/>
      <c r="U816" s="109"/>
      <c r="V816" s="109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  <c r="AH816" s="109"/>
      <c r="AI816" s="109"/>
      <c r="AJ816" s="109"/>
      <c r="AK816" s="109"/>
      <c r="AL816" s="109"/>
      <c r="AM816" s="109"/>
      <c r="AN816" s="109"/>
      <c r="AO816" s="109"/>
      <c r="AP816" s="109"/>
      <c r="AQ816" s="109"/>
      <c r="AR816" s="109"/>
      <c r="AS816" s="109"/>
      <c r="AT816" s="109"/>
      <c r="AU816" s="109"/>
      <c r="AV816" s="109"/>
      <c r="AW816" s="109"/>
      <c r="AX816" s="109"/>
      <c r="AY816" s="109"/>
      <c r="AZ816" s="109"/>
    </row>
    <row r="817" spans="20:52" x14ac:dyDescent="0.65">
      <c r="T817" s="109"/>
      <c r="U817" s="109"/>
      <c r="V817" s="109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  <c r="AH817" s="109"/>
      <c r="AI817" s="109"/>
      <c r="AJ817" s="109"/>
      <c r="AK817" s="109"/>
      <c r="AL817" s="109"/>
      <c r="AM817" s="109"/>
      <c r="AN817" s="109"/>
      <c r="AO817" s="109"/>
      <c r="AP817" s="109"/>
      <c r="AQ817" s="109"/>
      <c r="AR817" s="109"/>
      <c r="AS817" s="109"/>
      <c r="AT817" s="109"/>
      <c r="AU817" s="109"/>
      <c r="AV817" s="109"/>
      <c r="AW817" s="109"/>
      <c r="AX817" s="109"/>
      <c r="AY817" s="109"/>
      <c r="AZ817" s="109"/>
    </row>
    <row r="818" spans="20:52" x14ac:dyDescent="0.65">
      <c r="T818" s="109"/>
      <c r="U818" s="109"/>
      <c r="V818" s="109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  <c r="AZ818" s="109"/>
    </row>
    <row r="819" spans="20:52" x14ac:dyDescent="0.65">
      <c r="T819" s="109"/>
      <c r="U819" s="109"/>
      <c r="V819" s="109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109"/>
      <c r="AI819" s="109"/>
      <c r="AJ819" s="109"/>
      <c r="AK819" s="109"/>
      <c r="AL819" s="109"/>
      <c r="AM819" s="109"/>
      <c r="AN819" s="109"/>
      <c r="AO819" s="109"/>
      <c r="AP819" s="109"/>
      <c r="AQ819" s="109"/>
      <c r="AR819" s="109"/>
      <c r="AS819" s="109"/>
      <c r="AT819" s="109"/>
      <c r="AU819" s="109"/>
      <c r="AV819" s="109"/>
      <c r="AW819" s="109"/>
      <c r="AX819" s="109"/>
      <c r="AY819" s="109"/>
      <c r="AZ819" s="109"/>
    </row>
    <row r="820" spans="20:52" x14ac:dyDescent="0.65">
      <c r="T820" s="109"/>
      <c r="U820" s="109"/>
      <c r="V820" s="109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  <c r="AH820" s="109"/>
      <c r="AI820" s="109"/>
      <c r="AJ820" s="109"/>
      <c r="AK820" s="109"/>
      <c r="AL820" s="109"/>
      <c r="AM820" s="109"/>
      <c r="AN820" s="109"/>
      <c r="AO820" s="109"/>
      <c r="AP820" s="109"/>
      <c r="AQ820" s="109"/>
      <c r="AR820" s="109"/>
      <c r="AS820" s="109"/>
      <c r="AT820" s="109"/>
      <c r="AU820" s="109"/>
      <c r="AV820" s="109"/>
      <c r="AW820" s="109"/>
      <c r="AX820" s="109"/>
      <c r="AY820" s="109"/>
      <c r="AZ820" s="109"/>
    </row>
    <row r="821" spans="20:52" x14ac:dyDescent="0.65">
      <c r="T821" s="109"/>
      <c r="U821" s="109"/>
      <c r="V821" s="109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09"/>
      <c r="AM821" s="109"/>
      <c r="AN821" s="109"/>
      <c r="AO821" s="109"/>
      <c r="AP821" s="109"/>
      <c r="AQ821" s="109"/>
      <c r="AR821" s="109"/>
      <c r="AS821" s="109"/>
      <c r="AT821" s="109"/>
      <c r="AU821" s="109"/>
      <c r="AV821" s="109"/>
      <c r="AW821" s="109"/>
      <c r="AX821" s="109"/>
      <c r="AY821" s="109"/>
      <c r="AZ821" s="109"/>
    </row>
    <row r="822" spans="20:52" x14ac:dyDescent="0.65">
      <c r="T822" s="109"/>
      <c r="U822" s="109"/>
      <c r="V822" s="109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  <c r="AH822" s="109"/>
      <c r="AI822" s="109"/>
      <c r="AJ822" s="109"/>
      <c r="AK822" s="109"/>
      <c r="AL822" s="109"/>
      <c r="AM822" s="109"/>
      <c r="AN822" s="109"/>
      <c r="AO822" s="109"/>
      <c r="AP822" s="109"/>
      <c r="AQ822" s="109"/>
      <c r="AR822" s="109"/>
      <c r="AS822" s="109"/>
      <c r="AT822" s="109"/>
      <c r="AU822" s="109"/>
      <c r="AV822" s="109"/>
      <c r="AW822" s="109"/>
      <c r="AX822" s="109"/>
      <c r="AY822" s="109"/>
      <c r="AZ822" s="109"/>
    </row>
    <row r="823" spans="20:52" x14ac:dyDescent="0.65">
      <c r="T823" s="109"/>
      <c r="U823" s="109"/>
      <c r="V823" s="109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109"/>
      <c r="AI823" s="109"/>
      <c r="AJ823" s="109"/>
      <c r="AK823" s="109"/>
      <c r="AL823" s="109"/>
      <c r="AM823" s="109"/>
      <c r="AN823" s="109"/>
      <c r="AO823" s="109"/>
      <c r="AP823" s="109"/>
      <c r="AQ823" s="109"/>
      <c r="AR823" s="109"/>
      <c r="AS823" s="109"/>
      <c r="AT823" s="109"/>
      <c r="AU823" s="109"/>
      <c r="AV823" s="109"/>
      <c r="AW823" s="109"/>
      <c r="AX823" s="109"/>
      <c r="AY823" s="109"/>
      <c r="AZ823" s="109"/>
    </row>
    <row r="824" spans="20:52" x14ac:dyDescent="0.65">
      <c r="T824" s="109"/>
      <c r="U824" s="109"/>
      <c r="V824" s="109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  <c r="AH824" s="109"/>
      <c r="AI824" s="109"/>
      <c r="AJ824" s="109"/>
      <c r="AK824" s="109"/>
      <c r="AL824" s="109"/>
      <c r="AM824" s="109"/>
      <c r="AN824" s="109"/>
      <c r="AO824" s="109"/>
      <c r="AP824" s="109"/>
      <c r="AQ824" s="109"/>
      <c r="AR824" s="109"/>
      <c r="AS824" s="109"/>
      <c r="AT824" s="109"/>
      <c r="AU824" s="109"/>
      <c r="AV824" s="109"/>
      <c r="AW824" s="109"/>
      <c r="AX824" s="109"/>
      <c r="AY824" s="109"/>
      <c r="AZ824" s="109"/>
    </row>
    <row r="825" spans="20:52" x14ac:dyDescent="0.65">
      <c r="T825" s="109"/>
      <c r="U825" s="109"/>
      <c r="V825" s="109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109"/>
      <c r="AI825" s="109"/>
      <c r="AJ825" s="109"/>
      <c r="AK825" s="109"/>
      <c r="AL825" s="109"/>
      <c r="AM825" s="109"/>
      <c r="AN825" s="109"/>
      <c r="AO825" s="109"/>
      <c r="AP825" s="109"/>
      <c r="AQ825" s="109"/>
      <c r="AR825" s="109"/>
      <c r="AS825" s="109"/>
      <c r="AT825" s="109"/>
      <c r="AU825" s="109"/>
      <c r="AV825" s="109"/>
      <c r="AW825" s="109"/>
      <c r="AX825" s="109"/>
      <c r="AY825" s="109"/>
      <c r="AZ825" s="109"/>
    </row>
    <row r="826" spans="20:52" x14ac:dyDescent="0.65">
      <c r="T826" s="109"/>
      <c r="U826" s="109"/>
      <c r="V826" s="109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  <c r="AH826" s="109"/>
      <c r="AI826" s="109"/>
      <c r="AJ826" s="109"/>
      <c r="AK826" s="109"/>
      <c r="AL826" s="109"/>
      <c r="AM826" s="109"/>
      <c r="AN826" s="109"/>
      <c r="AO826" s="109"/>
      <c r="AP826" s="109"/>
      <c r="AQ826" s="109"/>
      <c r="AR826" s="109"/>
      <c r="AS826" s="109"/>
      <c r="AT826" s="109"/>
      <c r="AU826" s="109"/>
      <c r="AV826" s="109"/>
      <c r="AW826" s="109"/>
      <c r="AX826" s="109"/>
      <c r="AY826" s="109"/>
      <c r="AZ826" s="109"/>
    </row>
    <row r="827" spans="20:52" x14ac:dyDescent="0.65">
      <c r="T827" s="109"/>
      <c r="U827" s="109"/>
      <c r="V827" s="109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  <c r="AZ827" s="109"/>
    </row>
    <row r="828" spans="20:52" x14ac:dyDescent="0.65">
      <c r="T828" s="109"/>
      <c r="U828" s="109"/>
      <c r="V828" s="109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  <c r="AH828" s="109"/>
      <c r="AI828" s="109"/>
      <c r="AJ828" s="109"/>
      <c r="AK828" s="109"/>
      <c r="AL828" s="109"/>
      <c r="AM828" s="109"/>
      <c r="AN828" s="109"/>
      <c r="AO828" s="109"/>
      <c r="AP828" s="109"/>
      <c r="AQ828" s="109"/>
      <c r="AR828" s="109"/>
      <c r="AS828" s="109"/>
      <c r="AT828" s="109"/>
      <c r="AU828" s="109"/>
      <c r="AV828" s="109"/>
      <c r="AW828" s="109"/>
      <c r="AX828" s="109"/>
      <c r="AY828" s="109"/>
      <c r="AZ828" s="109"/>
    </row>
    <row r="829" spans="20:52" x14ac:dyDescent="0.65">
      <c r="T829" s="109"/>
      <c r="U829" s="109"/>
      <c r="V829" s="109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  <c r="AH829" s="109"/>
      <c r="AI829" s="109"/>
      <c r="AJ829" s="109"/>
      <c r="AK829" s="109"/>
      <c r="AL829" s="109"/>
      <c r="AM829" s="109"/>
      <c r="AN829" s="109"/>
      <c r="AO829" s="109"/>
      <c r="AP829" s="109"/>
      <c r="AQ829" s="109"/>
      <c r="AR829" s="109"/>
      <c r="AS829" s="109"/>
      <c r="AT829" s="109"/>
      <c r="AU829" s="109"/>
      <c r="AV829" s="109"/>
      <c r="AW829" s="109"/>
      <c r="AX829" s="109"/>
      <c r="AY829" s="109"/>
      <c r="AZ829" s="109"/>
    </row>
    <row r="830" spans="20:52" x14ac:dyDescent="0.65">
      <c r="T830" s="109"/>
      <c r="U830" s="109"/>
      <c r="V830" s="109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  <c r="AH830" s="109"/>
      <c r="AI830" s="109"/>
      <c r="AJ830" s="109"/>
      <c r="AK830" s="109"/>
      <c r="AL830" s="109"/>
      <c r="AM830" s="109"/>
      <c r="AN830" s="109"/>
      <c r="AO830" s="109"/>
      <c r="AP830" s="109"/>
      <c r="AQ830" s="109"/>
      <c r="AR830" s="109"/>
      <c r="AS830" s="109"/>
      <c r="AT830" s="109"/>
      <c r="AU830" s="109"/>
      <c r="AV830" s="109"/>
      <c r="AW830" s="109"/>
      <c r="AX830" s="109"/>
      <c r="AY830" s="109"/>
      <c r="AZ830" s="109"/>
    </row>
    <row r="831" spans="20:52" x14ac:dyDescent="0.65">
      <c r="T831" s="109"/>
      <c r="U831" s="109"/>
      <c r="V831" s="109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  <c r="AH831" s="109"/>
      <c r="AI831" s="109"/>
      <c r="AJ831" s="109"/>
      <c r="AK831" s="109"/>
      <c r="AL831" s="109"/>
      <c r="AM831" s="109"/>
      <c r="AN831" s="109"/>
      <c r="AO831" s="109"/>
      <c r="AP831" s="109"/>
      <c r="AQ831" s="109"/>
      <c r="AR831" s="109"/>
      <c r="AS831" s="109"/>
      <c r="AT831" s="109"/>
      <c r="AU831" s="109"/>
      <c r="AV831" s="109"/>
      <c r="AW831" s="109"/>
      <c r="AX831" s="109"/>
      <c r="AY831" s="109"/>
      <c r="AZ831" s="109"/>
    </row>
    <row r="832" spans="20:52" x14ac:dyDescent="0.65">
      <c r="T832" s="109"/>
      <c r="U832" s="109"/>
      <c r="V832" s="109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  <c r="AH832" s="109"/>
      <c r="AI832" s="109"/>
      <c r="AJ832" s="109"/>
      <c r="AK832" s="109"/>
      <c r="AL832" s="109"/>
      <c r="AM832" s="109"/>
      <c r="AN832" s="109"/>
      <c r="AO832" s="109"/>
      <c r="AP832" s="109"/>
      <c r="AQ832" s="109"/>
      <c r="AR832" s="109"/>
      <c r="AS832" s="109"/>
      <c r="AT832" s="109"/>
      <c r="AU832" s="109"/>
      <c r="AV832" s="109"/>
      <c r="AW832" s="109"/>
      <c r="AX832" s="109"/>
      <c r="AY832" s="109"/>
      <c r="AZ832" s="109"/>
    </row>
    <row r="833" spans="20:52" x14ac:dyDescent="0.65">
      <c r="T833" s="109"/>
      <c r="U833" s="109"/>
      <c r="V833" s="109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  <c r="AH833" s="109"/>
      <c r="AI833" s="109"/>
      <c r="AJ833" s="109"/>
      <c r="AK833" s="109"/>
      <c r="AL833" s="109"/>
      <c r="AM833" s="109"/>
      <c r="AN833" s="109"/>
      <c r="AO833" s="109"/>
      <c r="AP833" s="109"/>
      <c r="AQ833" s="109"/>
      <c r="AR833" s="109"/>
      <c r="AS833" s="109"/>
      <c r="AT833" s="109"/>
      <c r="AU833" s="109"/>
      <c r="AV833" s="109"/>
      <c r="AW833" s="109"/>
      <c r="AX833" s="109"/>
      <c r="AY833" s="109"/>
      <c r="AZ833" s="109"/>
    </row>
    <row r="834" spans="20:52" x14ac:dyDescent="0.65">
      <c r="T834" s="109"/>
      <c r="U834" s="109"/>
      <c r="V834" s="109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  <c r="AH834" s="109"/>
      <c r="AI834" s="109"/>
      <c r="AJ834" s="109"/>
      <c r="AK834" s="109"/>
      <c r="AL834" s="109"/>
      <c r="AM834" s="109"/>
      <c r="AN834" s="109"/>
      <c r="AO834" s="109"/>
      <c r="AP834" s="109"/>
      <c r="AQ834" s="109"/>
      <c r="AR834" s="109"/>
      <c r="AS834" s="109"/>
      <c r="AT834" s="109"/>
      <c r="AU834" s="109"/>
      <c r="AV834" s="109"/>
      <c r="AW834" s="109"/>
      <c r="AX834" s="109"/>
      <c r="AY834" s="109"/>
      <c r="AZ834" s="109"/>
    </row>
    <row r="835" spans="20:52" x14ac:dyDescent="0.65">
      <c r="T835" s="109"/>
      <c r="U835" s="109"/>
      <c r="V835" s="109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  <c r="AH835" s="109"/>
      <c r="AI835" s="109"/>
      <c r="AJ835" s="109"/>
      <c r="AK835" s="109"/>
      <c r="AL835" s="109"/>
      <c r="AM835" s="109"/>
      <c r="AN835" s="109"/>
      <c r="AO835" s="109"/>
      <c r="AP835" s="109"/>
      <c r="AQ835" s="109"/>
      <c r="AR835" s="109"/>
      <c r="AS835" s="109"/>
      <c r="AT835" s="109"/>
      <c r="AU835" s="109"/>
      <c r="AV835" s="109"/>
      <c r="AW835" s="109"/>
      <c r="AX835" s="109"/>
      <c r="AY835" s="109"/>
      <c r="AZ835" s="109"/>
    </row>
    <row r="836" spans="20:52" x14ac:dyDescent="0.65">
      <c r="T836" s="109"/>
      <c r="U836" s="109"/>
      <c r="V836" s="109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  <c r="AH836" s="109"/>
      <c r="AI836" s="109"/>
      <c r="AJ836" s="109"/>
      <c r="AK836" s="109"/>
      <c r="AL836" s="109"/>
      <c r="AM836" s="109"/>
      <c r="AN836" s="109"/>
      <c r="AO836" s="109"/>
      <c r="AP836" s="109"/>
      <c r="AQ836" s="109"/>
      <c r="AR836" s="109"/>
      <c r="AS836" s="109"/>
      <c r="AT836" s="109"/>
      <c r="AU836" s="109"/>
      <c r="AV836" s="109"/>
      <c r="AW836" s="109"/>
      <c r="AX836" s="109"/>
      <c r="AY836" s="109"/>
      <c r="AZ836" s="109"/>
    </row>
    <row r="837" spans="20:52" x14ac:dyDescent="0.65">
      <c r="T837" s="109"/>
      <c r="U837" s="109"/>
      <c r="V837" s="109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  <c r="AH837" s="109"/>
      <c r="AI837" s="109"/>
      <c r="AJ837" s="109"/>
      <c r="AK837" s="109"/>
      <c r="AL837" s="109"/>
      <c r="AM837" s="109"/>
      <c r="AN837" s="109"/>
      <c r="AO837" s="109"/>
      <c r="AP837" s="109"/>
      <c r="AQ837" s="109"/>
      <c r="AR837" s="109"/>
      <c r="AS837" s="109"/>
      <c r="AT837" s="109"/>
      <c r="AU837" s="109"/>
      <c r="AV837" s="109"/>
      <c r="AW837" s="109"/>
      <c r="AX837" s="109"/>
      <c r="AY837" s="109"/>
      <c r="AZ837" s="109"/>
    </row>
    <row r="838" spans="20:52" x14ac:dyDescent="0.65">
      <c r="T838" s="109"/>
      <c r="U838" s="109"/>
      <c r="V838" s="109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109"/>
      <c r="AM838" s="109"/>
      <c r="AN838" s="109"/>
      <c r="AO838" s="109"/>
      <c r="AP838" s="109"/>
      <c r="AQ838" s="109"/>
      <c r="AR838" s="109"/>
      <c r="AS838" s="109"/>
      <c r="AT838" s="109"/>
      <c r="AU838" s="109"/>
      <c r="AV838" s="109"/>
      <c r="AW838" s="109"/>
      <c r="AX838" s="109"/>
      <c r="AY838" s="109"/>
      <c r="AZ838" s="109"/>
    </row>
    <row r="839" spans="20:52" x14ac:dyDescent="0.65">
      <c r="T839" s="109"/>
      <c r="U839" s="109"/>
      <c r="V839" s="109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  <c r="AH839" s="109"/>
      <c r="AI839" s="109"/>
      <c r="AJ839" s="109"/>
      <c r="AK839" s="109"/>
      <c r="AL839" s="109"/>
      <c r="AM839" s="109"/>
      <c r="AN839" s="109"/>
      <c r="AO839" s="109"/>
      <c r="AP839" s="109"/>
      <c r="AQ839" s="109"/>
      <c r="AR839" s="109"/>
      <c r="AS839" s="109"/>
      <c r="AT839" s="109"/>
      <c r="AU839" s="109"/>
      <c r="AV839" s="109"/>
      <c r="AW839" s="109"/>
      <c r="AX839" s="109"/>
      <c r="AY839" s="109"/>
      <c r="AZ839" s="109"/>
    </row>
    <row r="840" spans="20:52" x14ac:dyDescent="0.65">
      <c r="T840" s="109"/>
      <c r="U840" s="109"/>
      <c r="V840" s="109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109"/>
      <c r="AM840" s="109"/>
      <c r="AN840" s="109"/>
      <c r="AO840" s="109"/>
      <c r="AP840" s="109"/>
      <c r="AQ840" s="109"/>
      <c r="AR840" s="109"/>
      <c r="AS840" s="109"/>
      <c r="AT840" s="109"/>
      <c r="AU840" s="109"/>
      <c r="AV840" s="109"/>
      <c r="AW840" s="109"/>
      <c r="AX840" s="109"/>
      <c r="AY840" s="109"/>
      <c r="AZ840" s="109"/>
    </row>
    <row r="841" spans="20:52" x14ac:dyDescent="0.65">
      <c r="T841" s="109"/>
      <c r="U841" s="109"/>
      <c r="V841" s="109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  <c r="AH841" s="109"/>
      <c r="AI841" s="109"/>
      <c r="AJ841" s="109"/>
      <c r="AK841" s="109"/>
      <c r="AL841" s="109"/>
      <c r="AM841" s="109"/>
      <c r="AN841" s="109"/>
      <c r="AO841" s="109"/>
      <c r="AP841" s="109"/>
      <c r="AQ841" s="109"/>
      <c r="AR841" s="109"/>
      <c r="AS841" s="109"/>
      <c r="AT841" s="109"/>
      <c r="AU841" s="109"/>
      <c r="AV841" s="109"/>
      <c r="AW841" s="109"/>
      <c r="AX841" s="109"/>
      <c r="AY841" s="109"/>
      <c r="AZ841" s="109"/>
    </row>
    <row r="842" spans="20:52" x14ac:dyDescent="0.65">
      <c r="T842" s="109"/>
      <c r="U842" s="109"/>
      <c r="V842" s="109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  <c r="AH842" s="109"/>
      <c r="AI842" s="109"/>
      <c r="AJ842" s="109"/>
      <c r="AK842" s="109"/>
      <c r="AL842" s="109"/>
      <c r="AM842" s="109"/>
      <c r="AN842" s="109"/>
      <c r="AO842" s="109"/>
      <c r="AP842" s="109"/>
      <c r="AQ842" s="109"/>
      <c r="AR842" s="109"/>
      <c r="AS842" s="109"/>
      <c r="AT842" s="109"/>
      <c r="AU842" s="109"/>
      <c r="AV842" s="109"/>
      <c r="AW842" s="109"/>
      <c r="AX842" s="109"/>
      <c r="AY842" s="109"/>
      <c r="AZ842" s="109"/>
    </row>
    <row r="843" spans="20:52" x14ac:dyDescent="0.65">
      <c r="T843" s="109"/>
      <c r="U843" s="109"/>
      <c r="V843" s="109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  <c r="AH843" s="109"/>
      <c r="AI843" s="109"/>
      <c r="AJ843" s="109"/>
      <c r="AK843" s="109"/>
      <c r="AL843" s="109"/>
      <c r="AM843" s="109"/>
      <c r="AN843" s="109"/>
      <c r="AO843" s="109"/>
      <c r="AP843" s="109"/>
      <c r="AQ843" s="109"/>
      <c r="AR843" s="109"/>
      <c r="AS843" s="109"/>
      <c r="AT843" s="109"/>
      <c r="AU843" s="109"/>
      <c r="AV843" s="109"/>
      <c r="AW843" s="109"/>
      <c r="AX843" s="109"/>
      <c r="AY843" s="109"/>
      <c r="AZ843" s="109"/>
    </row>
    <row r="844" spans="20:52" x14ac:dyDescent="0.65">
      <c r="T844" s="109"/>
      <c r="U844" s="109"/>
      <c r="V844" s="109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  <c r="AH844" s="109"/>
      <c r="AI844" s="109"/>
      <c r="AJ844" s="109"/>
      <c r="AK844" s="109"/>
      <c r="AL844" s="109"/>
      <c r="AM844" s="109"/>
      <c r="AN844" s="109"/>
      <c r="AO844" s="109"/>
      <c r="AP844" s="109"/>
      <c r="AQ844" s="109"/>
      <c r="AR844" s="109"/>
      <c r="AS844" s="109"/>
      <c r="AT844" s="109"/>
      <c r="AU844" s="109"/>
      <c r="AV844" s="109"/>
      <c r="AW844" s="109"/>
      <c r="AX844" s="109"/>
      <c r="AY844" s="109"/>
      <c r="AZ844" s="109"/>
    </row>
    <row r="845" spans="20:52" x14ac:dyDescent="0.65">
      <c r="T845" s="109"/>
      <c r="U845" s="109"/>
      <c r="V845" s="109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  <c r="AH845" s="109"/>
      <c r="AI845" s="109"/>
      <c r="AJ845" s="109"/>
      <c r="AK845" s="109"/>
      <c r="AL845" s="109"/>
      <c r="AM845" s="109"/>
      <c r="AN845" s="109"/>
      <c r="AO845" s="109"/>
      <c r="AP845" s="109"/>
      <c r="AQ845" s="109"/>
      <c r="AR845" s="109"/>
      <c r="AS845" s="109"/>
      <c r="AT845" s="109"/>
      <c r="AU845" s="109"/>
      <c r="AV845" s="109"/>
      <c r="AW845" s="109"/>
      <c r="AX845" s="109"/>
      <c r="AY845" s="109"/>
      <c r="AZ845" s="109"/>
    </row>
    <row r="846" spans="20:52" x14ac:dyDescent="0.65">
      <c r="T846" s="109"/>
      <c r="U846" s="109"/>
      <c r="V846" s="109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  <c r="AH846" s="109"/>
      <c r="AI846" s="109"/>
      <c r="AJ846" s="109"/>
      <c r="AK846" s="109"/>
      <c r="AL846" s="109"/>
      <c r="AM846" s="109"/>
      <c r="AN846" s="109"/>
      <c r="AO846" s="109"/>
      <c r="AP846" s="109"/>
      <c r="AQ846" s="109"/>
      <c r="AR846" s="109"/>
      <c r="AS846" s="109"/>
      <c r="AT846" s="109"/>
      <c r="AU846" s="109"/>
      <c r="AV846" s="109"/>
      <c r="AW846" s="109"/>
      <c r="AX846" s="109"/>
      <c r="AY846" s="109"/>
      <c r="AZ846" s="109"/>
    </row>
    <row r="847" spans="20:52" x14ac:dyDescent="0.65">
      <c r="T847" s="109"/>
      <c r="U847" s="109"/>
      <c r="V847" s="109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  <c r="AH847" s="109"/>
      <c r="AI847" s="109"/>
      <c r="AJ847" s="109"/>
      <c r="AK847" s="109"/>
      <c r="AL847" s="109"/>
      <c r="AM847" s="109"/>
      <c r="AN847" s="109"/>
      <c r="AO847" s="109"/>
      <c r="AP847" s="109"/>
      <c r="AQ847" s="109"/>
      <c r="AR847" s="109"/>
      <c r="AS847" s="109"/>
      <c r="AT847" s="109"/>
      <c r="AU847" s="109"/>
      <c r="AV847" s="109"/>
      <c r="AW847" s="109"/>
      <c r="AX847" s="109"/>
      <c r="AY847" s="109"/>
      <c r="AZ847" s="109"/>
    </row>
    <row r="848" spans="20:52" x14ac:dyDescent="0.65">
      <c r="T848" s="109"/>
      <c r="U848" s="109"/>
      <c r="V848" s="109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  <c r="AZ848" s="109"/>
    </row>
    <row r="849" spans="20:52" x14ac:dyDescent="0.65">
      <c r="T849" s="109"/>
      <c r="U849" s="109"/>
      <c r="V849" s="109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  <c r="AH849" s="109"/>
      <c r="AI849" s="109"/>
      <c r="AJ849" s="109"/>
      <c r="AK849" s="109"/>
      <c r="AL849" s="109"/>
      <c r="AM849" s="109"/>
      <c r="AN849" s="109"/>
      <c r="AO849" s="109"/>
      <c r="AP849" s="109"/>
      <c r="AQ849" s="109"/>
      <c r="AR849" s="109"/>
      <c r="AS849" s="109"/>
      <c r="AT849" s="109"/>
      <c r="AU849" s="109"/>
      <c r="AV849" s="109"/>
      <c r="AW849" s="109"/>
      <c r="AX849" s="109"/>
      <c r="AY849" s="109"/>
      <c r="AZ849" s="109"/>
    </row>
    <row r="850" spans="20:52" x14ac:dyDescent="0.65">
      <c r="T850" s="109"/>
      <c r="U850" s="109"/>
      <c r="V850" s="109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  <c r="AH850" s="109"/>
      <c r="AI850" s="109"/>
      <c r="AJ850" s="109"/>
      <c r="AK850" s="109"/>
      <c r="AL850" s="109"/>
      <c r="AM850" s="109"/>
      <c r="AN850" s="109"/>
      <c r="AO850" s="109"/>
      <c r="AP850" s="109"/>
      <c r="AQ850" s="109"/>
      <c r="AR850" s="109"/>
      <c r="AS850" s="109"/>
      <c r="AT850" s="109"/>
      <c r="AU850" s="109"/>
      <c r="AV850" s="109"/>
      <c r="AW850" s="109"/>
      <c r="AX850" s="109"/>
      <c r="AY850" s="109"/>
      <c r="AZ850" s="109"/>
    </row>
    <row r="851" spans="20:52" x14ac:dyDescent="0.65">
      <c r="T851" s="109"/>
      <c r="U851" s="109"/>
      <c r="V851" s="109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109"/>
      <c r="AM851" s="109"/>
      <c r="AN851" s="109"/>
      <c r="AO851" s="109"/>
      <c r="AP851" s="109"/>
      <c r="AQ851" s="109"/>
      <c r="AR851" s="109"/>
      <c r="AS851" s="109"/>
      <c r="AT851" s="109"/>
      <c r="AU851" s="109"/>
      <c r="AV851" s="109"/>
      <c r="AW851" s="109"/>
      <c r="AX851" s="109"/>
      <c r="AY851" s="109"/>
      <c r="AZ851" s="109"/>
    </row>
    <row r="852" spans="20:52" x14ac:dyDescent="0.65">
      <c r="T852" s="109"/>
      <c r="U852" s="109"/>
      <c r="V852" s="109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  <c r="AH852" s="109"/>
      <c r="AI852" s="109"/>
      <c r="AJ852" s="109"/>
      <c r="AK852" s="109"/>
      <c r="AL852" s="109"/>
      <c r="AM852" s="109"/>
      <c r="AN852" s="109"/>
      <c r="AO852" s="109"/>
      <c r="AP852" s="109"/>
      <c r="AQ852" s="109"/>
      <c r="AR852" s="109"/>
      <c r="AS852" s="109"/>
      <c r="AT852" s="109"/>
      <c r="AU852" s="109"/>
      <c r="AV852" s="109"/>
      <c r="AW852" s="109"/>
      <c r="AX852" s="109"/>
      <c r="AY852" s="109"/>
      <c r="AZ852" s="109"/>
    </row>
    <row r="853" spans="20:52" x14ac:dyDescent="0.65">
      <c r="T853" s="109"/>
      <c r="U853" s="109"/>
      <c r="V853" s="109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109"/>
      <c r="AM853" s="109"/>
      <c r="AN853" s="109"/>
      <c r="AO853" s="109"/>
      <c r="AP853" s="109"/>
      <c r="AQ853" s="109"/>
      <c r="AR853" s="109"/>
      <c r="AS853" s="109"/>
      <c r="AT853" s="109"/>
      <c r="AU853" s="109"/>
      <c r="AV853" s="109"/>
      <c r="AW853" s="109"/>
      <c r="AX853" s="109"/>
      <c r="AY853" s="109"/>
      <c r="AZ853" s="109"/>
    </row>
    <row r="854" spans="20:52" x14ac:dyDescent="0.65">
      <c r="T854" s="109"/>
      <c r="U854" s="109"/>
      <c r="V854" s="109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  <c r="AH854" s="109"/>
      <c r="AI854" s="109"/>
      <c r="AJ854" s="109"/>
      <c r="AK854" s="109"/>
      <c r="AL854" s="109"/>
      <c r="AM854" s="109"/>
      <c r="AN854" s="109"/>
      <c r="AO854" s="109"/>
      <c r="AP854" s="109"/>
      <c r="AQ854" s="109"/>
      <c r="AR854" s="109"/>
      <c r="AS854" s="109"/>
      <c r="AT854" s="109"/>
      <c r="AU854" s="109"/>
      <c r="AV854" s="109"/>
      <c r="AW854" s="109"/>
      <c r="AX854" s="109"/>
      <c r="AY854" s="109"/>
      <c r="AZ854" s="109"/>
    </row>
    <row r="855" spans="20:52" x14ac:dyDescent="0.65">
      <c r="T855" s="109"/>
      <c r="U855" s="109"/>
      <c r="V855" s="109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109"/>
      <c r="AI855" s="109"/>
      <c r="AJ855" s="109"/>
      <c r="AK855" s="109"/>
      <c r="AL855" s="109"/>
      <c r="AM855" s="109"/>
      <c r="AN855" s="109"/>
      <c r="AO855" s="109"/>
      <c r="AP855" s="109"/>
      <c r="AQ855" s="109"/>
      <c r="AR855" s="109"/>
      <c r="AS855" s="109"/>
      <c r="AT855" s="109"/>
      <c r="AU855" s="109"/>
      <c r="AV855" s="109"/>
      <c r="AW855" s="109"/>
      <c r="AX855" s="109"/>
      <c r="AY855" s="109"/>
      <c r="AZ855" s="109"/>
    </row>
    <row r="856" spans="20:52" x14ac:dyDescent="0.65">
      <c r="T856" s="109"/>
      <c r="U856" s="109"/>
      <c r="V856" s="109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  <c r="AH856" s="109"/>
      <c r="AI856" s="109"/>
      <c r="AJ856" s="109"/>
      <c r="AK856" s="109"/>
      <c r="AL856" s="109"/>
      <c r="AM856" s="109"/>
      <c r="AN856" s="109"/>
      <c r="AO856" s="109"/>
      <c r="AP856" s="109"/>
      <c r="AQ856" s="109"/>
      <c r="AR856" s="109"/>
      <c r="AS856" s="109"/>
      <c r="AT856" s="109"/>
      <c r="AU856" s="109"/>
      <c r="AV856" s="109"/>
      <c r="AW856" s="109"/>
      <c r="AX856" s="109"/>
      <c r="AY856" s="109"/>
      <c r="AZ856" s="109"/>
    </row>
    <row r="857" spans="20:52" x14ac:dyDescent="0.65">
      <c r="T857" s="109"/>
      <c r="U857" s="109"/>
      <c r="V857" s="109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109"/>
      <c r="AI857" s="109"/>
      <c r="AJ857" s="109"/>
      <c r="AK857" s="109"/>
      <c r="AL857" s="109"/>
      <c r="AM857" s="109"/>
      <c r="AN857" s="109"/>
      <c r="AO857" s="109"/>
      <c r="AP857" s="109"/>
      <c r="AQ857" s="109"/>
      <c r="AR857" s="109"/>
      <c r="AS857" s="109"/>
      <c r="AT857" s="109"/>
      <c r="AU857" s="109"/>
      <c r="AV857" s="109"/>
      <c r="AW857" s="109"/>
      <c r="AX857" s="109"/>
      <c r="AY857" s="109"/>
      <c r="AZ857" s="109"/>
    </row>
    <row r="858" spans="20:52" x14ac:dyDescent="0.65">
      <c r="T858" s="109"/>
      <c r="U858" s="109"/>
      <c r="V858" s="109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  <c r="AH858" s="109"/>
      <c r="AI858" s="109"/>
      <c r="AJ858" s="109"/>
      <c r="AK858" s="109"/>
      <c r="AL858" s="109"/>
      <c r="AM858" s="109"/>
      <c r="AN858" s="109"/>
      <c r="AO858" s="109"/>
      <c r="AP858" s="109"/>
      <c r="AQ858" s="109"/>
      <c r="AR858" s="109"/>
      <c r="AS858" s="109"/>
      <c r="AT858" s="109"/>
      <c r="AU858" s="109"/>
      <c r="AV858" s="109"/>
      <c r="AW858" s="109"/>
      <c r="AX858" s="109"/>
      <c r="AY858" s="109"/>
      <c r="AZ858" s="109"/>
    </row>
    <row r="859" spans="20:52" x14ac:dyDescent="0.65">
      <c r="T859" s="109"/>
      <c r="U859" s="109"/>
      <c r="V859" s="109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  <c r="AH859" s="109"/>
      <c r="AI859" s="109"/>
      <c r="AJ859" s="109"/>
      <c r="AK859" s="109"/>
      <c r="AL859" s="109"/>
      <c r="AM859" s="109"/>
      <c r="AN859" s="109"/>
      <c r="AO859" s="109"/>
      <c r="AP859" s="109"/>
      <c r="AQ859" s="109"/>
      <c r="AR859" s="109"/>
      <c r="AS859" s="109"/>
      <c r="AT859" s="109"/>
      <c r="AU859" s="109"/>
      <c r="AV859" s="109"/>
      <c r="AW859" s="109"/>
      <c r="AX859" s="109"/>
      <c r="AY859" s="109"/>
      <c r="AZ859" s="109"/>
    </row>
    <row r="860" spans="20:52" x14ac:dyDescent="0.65">
      <c r="T860" s="109"/>
      <c r="U860" s="109"/>
      <c r="V860" s="109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109"/>
      <c r="AI860" s="109"/>
      <c r="AJ860" s="109"/>
      <c r="AK860" s="109"/>
      <c r="AL860" s="109"/>
      <c r="AM860" s="109"/>
      <c r="AN860" s="109"/>
      <c r="AO860" s="109"/>
      <c r="AP860" s="109"/>
      <c r="AQ860" s="109"/>
      <c r="AR860" s="109"/>
      <c r="AS860" s="109"/>
      <c r="AT860" s="109"/>
      <c r="AU860" s="109"/>
      <c r="AV860" s="109"/>
      <c r="AW860" s="109"/>
      <c r="AX860" s="109"/>
      <c r="AY860" s="109"/>
      <c r="AZ860" s="109"/>
    </row>
    <row r="861" spans="20:52" x14ac:dyDescent="0.65">
      <c r="T861" s="109"/>
      <c r="U861" s="109"/>
      <c r="V861" s="109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09"/>
      <c r="AM861" s="109"/>
      <c r="AN861" s="109"/>
      <c r="AO861" s="109"/>
      <c r="AP861" s="109"/>
      <c r="AQ861" s="109"/>
      <c r="AR861" s="109"/>
      <c r="AS861" s="109"/>
      <c r="AT861" s="109"/>
      <c r="AU861" s="109"/>
      <c r="AV861" s="109"/>
      <c r="AW861" s="109"/>
      <c r="AX861" s="109"/>
      <c r="AY861" s="109"/>
      <c r="AZ861" s="109"/>
    </row>
    <row r="862" spans="20:52" x14ac:dyDescent="0.65">
      <c r="T862" s="109"/>
      <c r="U862" s="109"/>
      <c r="V862" s="109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109"/>
      <c r="AI862" s="109"/>
      <c r="AJ862" s="109"/>
      <c r="AK862" s="109"/>
      <c r="AL862" s="109"/>
      <c r="AM862" s="109"/>
      <c r="AN862" s="109"/>
      <c r="AO862" s="109"/>
      <c r="AP862" s="109"/>
      <c r="AQ862" s="109"/>
      <c r="AR862" s="109"/>
      <c r="AS862" s="109"/>
      <c r="AT862" s="109"/>
      <c r="AU862" s="109"/>
      <c r="AV862" s="109"/>
      <c r="AW862" s="109"/>
      <c r="AX862" s="109"/>
      <c r="AY862" s="109"/>
      <c r="AZ862" s="109"/>
    </row>
    <row r="863" spans="20:52" x14ac:dyDescent="0.65">
      <c r="T863" s="109"/>
      <c r="U863" s="109"/>
      <c r="V863" s="109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  <c r="AH863" s="109"/>
      <c r="AI863" s="109"/>
      <c r="AJ863" s="109"/>
      <c r="AK863" s="109"/>
      <c r="AL863" s="109"/>
      <c r="AM863" s="109"/>
      <c r="AN863" s="109"/>
      <c r="AO863" s="109"/>
      <c r="AP863" s="109"/>
      <c r="AQ863" s="109"/>
      <c r="AR863" s="109"/>
      <c r="AS863" s="109"/>
      <c r="AT863" s="109"/>
      <c r="AU863" s="109"/>
      <c r="AV863" s="109"/>
      <c r="AW863" s="109"/>
      <c r="AX863" s="109"/>
      <c r="AY863" s="109"/>
      <c r="AZ863" s="109"/>
    </row>
    <row r="864" spans="20:52" x14ac:dyDescent="0.65">
      <c r="T864" s="109"/>
      <c r="U864" s="109"/>
      <c r="V864" s="109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09"/>
      <c r="AM864" s="109"/>
      <c r="AN864" s="109"/>
      <c r="AO864" s="109"/>
      <c r="AP864" s="109"/>
      <c r="AQ864" s="109"/>
      <c r="AR864" s="109"/>
      <c r="AS864" s="109"/>
      <c r="AT864" s="109"/>
      <c r="AU864" s="109"/>
      <c r="AV864" s="109"/>
      <c r="AW864" s="109"/>
      <c r="AX864" s="109"/>
      <c r="AY864" s="109"/>
      <c r="AZ864" s="109"/>
    </row>
    <row r="865" spans="20:52" x14ac:dyDescent="0.65">
      <c r="T865" s="109"/>
      <c r="U865" s="109"/>
      <c r="V865" s="109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  <c r="AH865" s="109"/>
      <c r="AI865" s="109"/>
      <c r="AJ865" s="109"/>
      <c r="AK865" s="109"/>
      <c r="AL865" s="109"/>
      <c r="AM865" s="109"/>
      <c r="AN865" s="109"/>
      <c r="AO865" s="109"/>
      <c r="AP865" s="109"/>
      <c r="AQ865" s="109"/>
      <c r="AR865" s="109"/>
      <c r="AS865" s="109"/>
      <c r="AT865" s="109"/>
      <c r="AU865" s="109"/>
      <c r="AV865" s="109"/>
      <c r="AW865" s="109"/>
      <c r="AX865" s="109"/>
      <c r="AY865" s="109"/>
      <c r="AZ865" s="109"/>
    </row>
    <row r="866" spans="20:52" x14ac:dyDescent="0.65">
      <c r="T866" s="109"/>
      <c r="U866" s="109"/>
      <c r="V866" s="109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109"/>
      <c r="AI866" s="109"/>
      <c r="AJ866" s="109"/>
      <c r="AK866" s="109"/>
      <c r="AL866" s="109"/>
      <c r="AM866" s="109"/>
      <c r="AN866" s="109"/>
      <c r="AO866" s="109"/>
      <c r="AP866" s="109"/>
      <c r="AQ866" s="109"/>
      <c r="AR866" s="109"/>
      <c r="AS866" s="109"/>
      <c r="AT866" s="109"/>
      <c r="AU866" s="109"/>
      <c r="AV866" s="109"/>
      <c r="AW866" s="109"/>
      <c r="AX866" s="109"/>
      <c r="AY866" s="109"/>
      <c r="AZ866" s="109"/>
    </row>
    <row r="867" spans="20:52" x14ac:dyDescent="0.65">
      <c r="T867" s="109"/>
      <c r="U867" s="109"/>
      <c r="V867" s="109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109"/>
      <c r="AI867" s="109"/>
      <c r="AJ867" s="109"/>
      <c r="AK867" s="109"/>
      <c r="AL867" s="109"/>
      <c r="AM867" s="109"/>
      <c r="AN867" s="109"/>
      <c r="AO867" s="109"/>
      <c r="AP867" s="109"/>
      <c r="AQ867" s="109"/>
      <c r="AR867" s="109"/>
      <c r="AS867" s="109"/>
      <c r="AT867" s="109"/>
      <c r="AU867" s="109"/>
      <c r="AV867" s="109"/>
      <c r="AW867" s="109"/>
      <c r="AX867" s="109"/>
      <c r="AY867" s="109"/>
      <c r="AZ867" s="109"/>
    </row>
    <row r="868" spans="20:52" x14ac:dyDescent="0.65">
      <c r="T868" s="109"/>
      <c r="U868" s="109"/>
      <c r="V868" s="109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109"/>
      <c r="AI868" s="109"/>
      <c r="AJ868" s="109"/>
      <c r="AK868" s="109"/>
      <c r="AL868" s="109"/>
      <c r="AM868" s="109"/>
      <c r="AN868" s="109"/>
      <c r="AO868" s="109"/>
      <c r="AP868" s="109"/>
      <c r="AQ868" s="109"/>
      <c r="AR868" s="109"/>
      <c r="AS868" s="109"/>
      <c r="AT868" s="109"/>
      <c r="AU868" s="109"/>
      <c r="AV868" s="109"/>
      <c r="AW868" s="109"/>
      <c r="AX868" s="109"/>
      <c r="AY868" s="109"/>
      <c r="AZ868" s="109"/>
    </row>
    <row r="869" spans="20:52" x14ac:dyDescent="0.65">
      <c r="T869" s="109"/>
      <c r="U869" s="109"/>
      <c r="V869" s="109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09"/>
      <c r="AM869" s="109"/>
      <c r="AN869" s="109"/>
      <c r="AO869" s="109"/>
      <c r="AP869" s="109"/>
      <c r="AQ869" s="109"/>
      <c r="AR869" s="109"/>
      <c r="AS869" s="109"/>
      <c r="AT869" s="109"/>
      <c r="AU869" s="109"/>
      <c r="AV869" s="109"/>
      <c r="AW869" s="109"/>
      <c r="AX869" s="109"/>
      <c r="AY869" s="109"/>
      <c r="AZ869" s="109"/>
    </row>
    <row r="870" spans="20:52" x14ac:dyDescent="0.65">
      <c r="T870" s="109"/>
      <c r="U870" s="109"/>
      <c r="V870" s="109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  <c r="AH870" s="109"/>
      <c r="AI870" s="109"/>
      <c r="AJ870" s="109"/>
      <c r="AK870" s="109"/>
      <c r="AL870" s="109"/>
      <c r="AM870" s="109"/>
      <c r="AN870" s="109"/>
      <c r="AO870" s="109"/>
      <c r="AP870" s="109"/>
      <c r="AQ870" s="109"/>
      <c r="AR870" s="109"/>
      <c r="AS870" s="109"/>
      <c r="AT870" s="109"/>
      <c r="AU870" s="109"/>
      <c r="AV870" s="109"/>
      <c r="AW870" s="109"/>
      <c r="AX870" s="109"/>
      <c r="AY870" s="109"/>
      <c r="AZ870" s="109"/>
    </row>
    <row r="871" spans="20:52" x14ac:dyDescent="0.65">
      <c r="T871" s="109"/>
      <c r="U871" s="109"/>
      <c r="V871" s="109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109"/>
      <c r="AI871" s="109"/>
      <c r="AJ871" s="109"/>
      <c r="AK871" s="109"/>
      <c r="AL871" s="109"/>
      <c r="AM871" s="109"/>
      <c r="AN871" s="109"/>
      <c r="AO871" s="109"/>
      <c r="AP871" s="109"/>
      <c r="AQ871" s="109"/>
      <c r="AR871" s="109"/>
      <c r="AS871" s="109"/>
      <c r="AT871" s="109"/>
      <c r="AU871" s="109"/>
      <c r="AV871" s="109"/>
      <c r="AW871" s="109"/>
      <c r="AX871" s="109"/>
      <c r="AY871" s="109"/>
      <c r="AZ871" s="109"/>
    </row>
    <row r="872" spans="20:52" x14ac:dyDescent="0.65">
      <c r="T872" s="109"/>
      <c r="U872" s="109"/>
      <c r="V872" s="109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  <c r="AH872" s="109"/>
      <c r="AI872" s="109"/>
      <c r="AJ872" s="109"/>
      <c r="AK872" s="109"/>
      <c r="AL872" s="109"/>
      <c r="AM872" s="109"/>
      <c r="AN872" s="109"/>
      <c r="AO872" s="109"/>
      <c r="AP872" s="109"/>
      <c r="AQ872" s="109"/>
      <c r="AR872" s="109"/>
      <c r="AS872" s="109"/>
      <c r="AT872" s="109"/>
      <c r="AU872" s="109"/>
      <c r="AV872" s="109"/>
      <c r="AW872" s="109"/>
      <c r="AX872" s="109"/>
      <c r="AY872" s="109"/>
      <c r="AZ872" s="109"/>
    </row>
    <row r="873" spans="20:52" x14ac:dyDescent="0.65">
      <c r="T873" s="109"/>
      <c r="U873" s="109"/>
      <c r="V873" s="109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109"/>
      <c r="AI873" s="109"/>
      <c r="AJ873" s="109"/>
      <c r="AK873" s="109"/>
      <c r="AL873" s="109"/>
      <c r="AM873" s="109"/>
      <c r="AN873" s="109"/>
      <c r="AO873" s="109"/>
      <c r="AP873" s="109"/>
      <c r="AQ873" s="109"/>
      <c r="AR873" s="109"/>
      <c r="AS873" s="109"/>
      <c r="AT873" s="109"/>
      <c r="AU873" s="109"/>
      <c r="AV873" s="109"/>
      <c r="AW873" s="109"/>
      <c r="AX873" s="109"/>
      <c r="AY873" s="109"/>
      <c r="AZ873" s="109"/>
    </row>
    <row r="874" spans="20:52" x14ac:dyDescent="0.65">
      <c r="T874" s="109"/>
      <c r="U874" s="109"/>
      <c r="V874" s="109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  <c r="AH874" s="109"/>
      <c r="AI874" s="109"/>
      <c r="AJ874" s="109"/>
      <c r="AK874" s="109"/>
      <c r="AL874" s="109"/>
      <c r="AM874" s="109"/>
      <c r="AN874" s="109"/>
      <c r="AO874" s="109"/>
      <c r="AP874" s="109"/>
      <c r="AQ874" s="109"/>
      <c r="AR874" s="109"/>
      <c r="AS874" s="109"/>
      <c r="AT874" s="109"/>
      <c r="AU874" s="109"/>
      <c r="AV874" s="109"/>
      <c r="AW874" s="109"/>
      <c r="AX874" s="109"/>
      <c r="AY874" s="109"/>
      <c r="AZ874" s="109"/>
    </row>
    <row r="875" spans="20:52" x14ac:dyDescent="0.65">
      <c r="T875" s="109"/>
      <c r="U875" s="109"/>
      <c r="V875" s="109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109"/>
      <c r="AM875" s="109"/>
      <c r="AN875" s="109"/>
      <c r="AO875" s="109"/>
      <c r="AP875" s="109"/>
      <c r="AQ875" s="109"/>
      <c r="AR875" s="109"/>
      <c r="AS875" s="109"/>
      <c r="AT875" s="109"/>
      <c r="AU875" s="109"/>
      <c r="AV875" s="109"/>
      <c r="AW875" s="109"/>
      <c r="AX875" s="109"/>
      <c r="AY875" s="109"/>
      <c r="AZ875" s="109"/>
    </row>
    <row r="876" spans="20:52" x14ac:dyDescent="0.65">
      <c r="T876" s="109"/>
      <c r="U876" s="109"/>
      <c r="V876" s="109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  <c r="AH876" s="109"/>
      <c r="AI876" s="109"/>
      <c r="AJ876" s="109"/>
      <c r="AK876" s="109"/>
      <c r="AL876" s="109"/>
      <c r="AM876" s="109"/>
      <c r="AN876" s="109"/>
      <c r="AO876" s="109"/>
      <c r="AP876" s="109"/>
      <c r="AQ876" s="109"/>
      <c r="AR876" s="109"/>
      <c r="AS876" s="109"/>
      <c r="AT876" s="109"/>
      <c r="AU876" s="109"/>
      <c r="AV876" s="109"/>
      <c r="AW876" s="109"/>
      <c r="AX876" s="109"/>
      <c r="AY876" s="109"/>
      <c r="AZ876" s="109"/>
    </row>
    <row r="877" spans="20:52" x14ac:dyDescent="0.65">
      <c r="T877" s="109"/>
      <c r="U877" s="109"/>
      <c r="V877" s="109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09"/>
      <c r="AM877" s="109"/>
      <c r="AN877" s="109"/>
      <c r="AO877" s="109"/>
      <c r="AP877" s="109"/>
      <c r="AQ877" s="109"/>
      <c r="AR877" s="109"/>
      <c r="AS877" s="109"/>
      <c r="AT877" s="109"/>
      <c r="AU877" s="109"/>
      <c r="AV877" s="109"/>
      <c r="AW877" s="109"/>
      <c r="AX877" s="109"/>
      <c r="AY877" s="109"/>
      <c r="AZ877" s="109"/>
    </row>
    <row r="878" spans="20:52" x14ac:dyDescent="0.65">
      <c r="T878" s="109"/>
      <c r="U878" s="109"/>
      <c r="V878" s="109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109"/>
      <c r="AI878" s="109"/>
      <c r="AJ878" s="109"/>
      <c r="AK878" s="109"/>
      <c r="AL878" s="109"/>
      <c r="AM878" s="109"/>
      <c r="AN878" s="109"/>
      <c r="AO878" s="109"/>
      <c r="AP878" s="109"/>
      <c r="AQ878" s="109"/>
      <c r="AR878" s="109"/>
      <c r="AS878" s="109"/>
      <c r="AT878" s="109"/>
      <c r="AU878" s="109"/>
      <c r="AV878" s="109"/>
      <c r="AW878" s="109"/>
      <c r="AX878" s="109"/>
      <c r="AY878" s="109"/>
      <c r="AZ878" s="109"/>
    </row>
    <row r="879" spans="20:52" x14ac:dyDescent="0.65">
      <c r="T879" s="109"/>
      <c r="U879" s="109"/>
      <c r="V879" s="109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  <c r="AH879" s="109"/>
      <c r="AI879" s="109"/>
      <c r="AJ879" s="109"/>
      <c r="AK879" s="109"/>
      <c r="AL879" s="109"/>
      <c r="AM879" s="109"/>
      <c r="AN879" s="109"/>
      <c r="AO879" s="109"/>
      <c r="AP879" s="109"/>
      <c r="AQ879" s="109"/>
      <c r="AR879" s="109"/>
      <c r="AS879" s="109"/>
      <c r="AT879" s="109"/>
      <c r="AU879" s="109"/>
      <c r="AV879" s="109"/>
      <c r="AW879" s="109"/>
      <c r="AX879" s="109"/>
      <c r="AY879" s="109"/>
      <c r="AZ879" s="109"/>
    </row>
    <row r="880" spans="20:52" x14ac:dyDescent="0.65">
      <c r="T880" s="109"/>
      <c r="U880" s="109"/>
      <c r="V880" s="109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  <c r="AH880" s="109"/>
      <c r="AI880" s="109"/>
      <c r="AJ880" s="109"/>
      <c r="AK880" s="109"/>
      <c r="AL880" s="109"/>
      <c r="AM880" s="109"/>
      <c r="AN880" s="109"/>
      <c r="AO880" s="109"/>
      <c r="AP880" s="109"/>
      <c r="AQ880" s="109"/>
      <c r="AR880" s="109"/>
      <c r="AS880" s="109"/>
      <c r="AT880" s="109"/>
      <c r="AU880" s="109"/>
      <c r="AV880" s="109"/>
      <c r="AW880" s="109"/>
      <c r="AX880" s="109"/>
      <c r="AY880" s="109"/>
      <c r="AZ880" s="109"/>
    </row>
    <row r="881" spans="20:52" x14ac:dyDescent="0.65">
      <c r="T881" s="109"/>
      <c r="U881" s="109"/>
      <c r="V881" s="109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  <c r="AH881" s="109"/>
      <c r="AI881" s="109"/>
      <c r="AJ881" s="109"/>
      <c r="AK881" s="109"/>
      <c r="AL881" s="109"/>
      <c r="AM881" s="109"/>
      <c r="AN881" s="109"/>
      <c r="AO881" s="109"/>
      <c r="AP881" s="109"/>
      <c r="AQ881" s="109"/>
      <c r="AR881" s="109"/>
      <c r="AS881" s="109"/>
      <c r="AT881" s="109"/>
      <c r="AU881" s="109"/>
      <c r="AV881" s="109"/>
      <c r="AW881" s="109"/>
      <c r="AX881" s="109"/>
      <c r="AY881" s="109"/>
      <c r="AZ881" s="109"/>
    </row>
    <row r="882" spans="20:52" x14ac:dyDescent="0.65">
      <c r="T882" s="109"/>
      <c r="U882" s="109"/>
      <c r="V882" s="109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109"/>
      <c r="AM882" s="109"/>
      <c r="AN882" s="109"/>
      <c r="AO882" s="109"/>
      <c r="AP882" s="109"/>
      <c r="AQ882" s="109"/>
      <c r="AR882" s="109"/>
      <c r="AS882" s="109"/>
      <c r="AT882" s="109"/>
      <c r="AU882" s="109"/>
      <c r="AV882" s="109"/>
      <c r="AW882" s="109"/>
      <c r="AX882" s="109"/>
      <c r="AY882" s="109"/>
      <c r="AZ882" s="109"/>
    </row>
    <row r="883" spans="20:52" x14ac:dyDescent="0.65">
      <c r="T883" s="109"/>
      <c r="U883" s="109"/>
      <c r="V883" s="109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  <c r="AH883" s="109"/>
      <c r="AI883" s="109"/>
      <c r="AJ883" s="109"/>
      <c r="AK883" s="109"/>
      <c r="AL883" s="109"/>
      <c r="AM883" s="109"/>
      <c r="AN883" s="109"/>
      <c r="AO883" s="109"/>
      <c r="AP883" s="109"/>
      <c r="AQ883" s="109"/>
      <c r="AR883" s="109"/>
      <c r="AS883" s="109"/>
      <c r="AT883" s="109"/>
      <c r="AU883" s="109"/>
      <c r="AV883" s="109"/>
      <c r="AW883" s="109"/>
      <c r="AX883" s="109"/>
      <c r="AY883" s="109"/>
      <c r="AZ883" s="109"/>
    </row>
    <row r="884" spans="20:52" x14ac:dyDescent="0.65">
      <c r="T884" s="109"/>
      <c r="U884" s="109"/>
      <c r="V884" s="109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  <c r="AH884" s="109"/>
      <c r="AI884" s="109"/>
      <c r="AJ884" s="109"/>
      <c r="AK884" s="109"/>
      <c r="AL884" s="109"/>
      <c r="AM884" s="109"/>
      <c r="AN884" s="109"/>
      <c r="AO884" s="109"/>
      <c r="AP884" s="109"/>
      <c r="AQ884" s="109"/>
      <c r="AR884" s="109"/>
      <c r="AS884" s="109"/>
      <c r="AT884" s="109"/>
      <c r="AU884" s="109"/>
      <c r="AV884" s="109"/>
      <c r="AW884" s="109"/>
      <c r="AX884" s="109"/>
      <c r="AY884" s="109"/>
      <c r="AZ884" s="109"/>
    </row>
    <row r="885" spans="20:52" x14ac:dyDescent="0.65">
      <c r="T885" s="109"/>
      <c r="U885" s="109"/>
      <c r="V885" s="109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  <c r="AH885" s="109"/>
      <c r="AI885" s="109"/>
      <c r="AJ885" s="109"/>
      <c r="AK885" s="109"/>
      <c r="AL885" s="109"/>
      <c r="AM885" s="109"/>
      <c r="AN885" s="109"/>
      <c r="AO885" s="109"/>
      <c r="AP885" s="109"/>
      <c r="AQ885" s="109"/>
      <c r="AR885" s="109"/>
      <c r="AS885" s="109"/>
      <c r="AT885" s="109"/>
      <c r="AU885" s="109"/>
      <c r="AV885" s="109"/>
      <c r="AW885" s="109"/>
      <c r="AX885" s="109"/>
      <c r="AY885" s="109"/>
      <c r="AZ885" s="109"/>
    </row>
    <row r="886" spans="20:52" x14ac:dyDescent="0.65">
      <c r="T886" s="109"/>
      <c r="U886" s="109"/>
      <c r="V886" s="109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  <c r="AH886" s="109"/>
      <c r="AI886" s="109"/>
      <c r="AJ886" s="109"/>
      <c r="AK886" s="109"/>
      <c r="AL886" s="109"/>
      <c r="AM886" s="109"/>
      <c r="AN886" s="109"/>
      <c r="AO886" s="109"/>
      <c r="AP886" s="109"/>
      <c r="AQ886" s="109"/>
      <c r="AR886" s="109"/>
      <c r="AS886" s="109"/>
      <c r="AT886" s="109"/>
      <c r="AU886" s="109"/>
      <c r="AV886" s="109"/>
      <c r="AW886" s="109"/>
      <c r="AX886" s="109"/>
      <c r="AY886" s="109"/>
      <c r="AZ886" s="109"/>
    </row>
    <row r="887" spans="20:52" x14ac:dyDescent="0.65">
      <c r="T887" s="109"/>
      <c r="U887" s="109"/>
      <c r="V887" s="109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  <c r="AH887" s="109"/>
      <c r="AI887" s="109"/>
      <c r="AJ887" s="109"/>
      <c r="AK887" s="109"/>
      <c r="AL887" s="109"/>
      <c r="AM887" s="109"/>
      <c r="AN887" s="109"/>
      <c r="AO887" s="109"/>
      <c r="AP887" s="109"/>
      <c r="AQ887" s="109"/>
      <c r="AR887" s="109"/>
      <c r="AS887" s="109"/>
      <c r="AT887" s="109"/>
      <c r="AU887" s="109"/>
      <c r="AV887" s="109"/>
      <c r="AW887" s="109"/>
      <c r="AX887" s="109"/>
      <c r="AY887" s="109"/>
      <c r="AZ887" s="109"/>
    </row>
    <row r="888" spans="20:52" x14ac:dyDescent="0.65">
      <c r="T888" s="109"/>
      <c r="U888" s="109"/>
      <c r="V888" s="109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109"/>
      <c r="AM888" s="109"/>
      <c r="AN888" s="109"/>
      <c r="AO888" s="109"/>
      <c r="AP888" s="109"/>
      <c r="AQ888" s="109"/>
      <c r="AR888" s="109"/>
      <c r="AS888" s="109"/>
      <c r="AT888" s="109"/>
      <c r="AU888" s="109"/>
      <c r="AV888" s="109"/>
      <c r="AW888" s="109"/>
      <c r="AX888" s="109"/>
      <c r="AY888" s="109"/>
      <c r="AZ888" s="109"/>
    </row>
    <row r="889" spans="20:52" x14ac:dyDescent="0.65">
      <c r="T889" s="109"/>
      <c r="U889" s="109"/>
      <c r="V889" s="109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  <c r="AH889" s="109"/>
      <c r="AI889" s="109"/>
      <c r="AJ889" s="109"/>
      <c r="AK889" s="109"/>
      <c r="AL889" s="109"/>
      <c r="AM889" s="109"/>
      <c r="AN889" s="109"/>
      <c r="AO889" s="109"/>
      <c r="AP889" s="109"/>
      <c r="AQ889" s="109"/>
      <c r="AR889" s="109"/>
      <c r="AS889" s="109"/>
      <c r="AT889" s="109"/>
      <c r="AU889" s="109"/>
      <c r="AV889" s="109"/>
      <c r="AW889" s="109"/>
      <c r="AX889" s="109"/>
      <c r="AY889" s="109"/>
      <c r="AZ889" s="109"/>
    </row>
    <row r="890" spans="20:52" x14ac:dyDescent="0.65">
      <c r="T890" s="109"/>
      <c r="U890" s="109"/>
      <c r="V890" s="109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  <c r="AH890" s="109"/>
      <c r="AI890" s="109"/>
      <c r="AJ890" s="109"/>
      <c r="AK890" s="109"/>
      <c r="AL890" s="109"/>
      <c r="AM890" s="109"/>
      <c r="AN890" s="109"/>
      <c r="AO890" s="109"/>
      <c r="AP890" s="109"/>
      <c r="AQ890" s="109"/>
      <c r="AR890" s="109"/>
      <c r="AS890" s="109"/>
      <c r="AT890" s="109"/>
      <c r="AU890" s="109"/>
      <c r="AV890" s="109"/>
      <c r="AW890" s="109"/>
      <c r="AX890" s="109"/>
      <c r="AY890" s="109"/>
      <c r="AZ890" s="109"/>
    </row>
    <row r="891" spans="20:52" x14ac:dyDescent="0.65">
      <c r="T891" s="109"/>
      <c r="U891" s="109"/>
      <c r="V891" s="109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  <c r="AH891" s="109"/>
      <c r="AI891" s="109"/>
      <c r="AJ891" s="109"/>
      <c r="AK891" s="109"/>
      <c r="AL891" s="109"/>
      <c r="AM891" s="109"/>
      <c r="AN891" s="109"/>
      <c r="AO891" s="109"/>
      <c r="AP891" s="109"/>
      <c r="AQ891" s="109"/>
      <c r="AR891" s="109"/>
      <c r="AS891" s="109"/>
      <c r="AT891" s="109"/>
      <c r="AU891" s="109"/>
      <c r="AV891" s="109"/>
      <c r="AW891" s="109"/>
      <c r="AX891" s="109"/>
      <c r="AY891" s="109"/>
      <c r="AZ891" s="109"/>
    </row>
    <row r="892" spans="20:52" x14ac:dyDescent="0.65">
      <c r="T892" s="109"/>
      <c r="U892" s="109"/>
      <c r="V892" s="109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  <c r="AH892" s="109"/>
      <c r="AI892" s="109"/>
      <c r="AJ892" s="109"/>
      <c r="AK892" s="109"/>
      <c r="AL892" s="109"/>
      <c r="AM892" s="109"/>
      <c r="AN892" s="109"/>
      <c r="AO892" s="109"/>
      <c r="AP892" s="109"/>
      <c r="AQ892" s="109"/>
      <c r="AR892" s="109"/>
      <c r="AS892" s="109"/>
      <c r="AT892" s="109"/>
      <c r="AU892" s="109"/>
      <c r="AV892" s="109"/>
      <c r="AW892" s="109"/>
      <c r="AX892" s="109"/>
      <c r="AY892" s="109"/>
      <c r="AZ892" s="109"/>
    </row>
    <row r="893" spans="20:52" x14ac:dyDescent="0.65">
      <c r="T893" s="109"/>
      <c r="U893" s="109"/>
      <c r="V893" s="109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109"/>
      <c r="AI893" s="109"/>
      <c r="AJ893" s="109"/>
      <c r="AK893" s="109"/>
      <c r="AL893" s="109"/>
      <c r="AM893" s="109"/>
      <c r="AN893" s="109"/>
      <c r="AO893" s="109"/>
      <c r="AP893" s="109"/>
      <c r="AQ893" s="109"/>
      <c r="AR893" s="109"/>
      <c r="AS893" s="109"/>
      <c r="AT893" s="109"/>
      <c r="AU893" s="109"/>
      <c r="AV893" s="109"/>
      <c r="AW893" s="109"/>
      <c r="AX893" s="109"/>
      <c r="AY893" s="109"/>
      <c r="AZ893" s="109"/>
    </row>
    <row r="894" spans="20:52" x14ac:dyDescent="0.65">
      <c r="T894" s="109"/>
      <c r="U894" s="109"/>
      <c r="V894" s="109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  <c r="AH894" s="109"/>
      <c r="AI894" s="109"/>
      <c r="AJ894" s="109"/>
      <c r="AK894" s="109"/>
      <c r="AL894" s="109"/>
      <c r="AM894" s="109"/>
      <c r="AN894" s="109"/>
      <c r="AO894" s="109"/>
      <c r="AP894" s="109"/>
      <c r="AQ894" s="109"/>
      <c r="AR894" s="109"/>
      <c r="AS894" s="109"/>
      <c r="AT894" s="109"/>
      <c r="AU894" s="109"/>
      <c r="AV894" s="109"/>
      <c r="AW894" s="109"/>
      <c r="AX894" s="109"/>
      <c r="AY894" s="109"/>
      <c r="AZ894" s="109"/>
    </row>
    <row r="895" spans="20:52" x14ac:dyDescent="0.65">
      <c r="T895" s="109"/>
      <c r="U895" s="109"/>
      <c r="V895" s="109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109"/>
      <c r="AI895" s="109"/>
      <c r="AJ895" s="109"/>
      <c r="AK895" s="109"/>
      <c r="AL895" s="109"/>
      <c r="AM895" s="109"/>
      <c r="AN895" s="109"/>
      <c r="AO895" s="109"/>
      <c r="AP895" s="109"/>
      <c r="AQ895" s="109"/>
      <c r="AR895" s="109"/>
      <c r="AS895" s="109"/>
      <c r="AT895" s="109"/>
      <c r="AU895" s="109"/>
      <c r="AV895" s="109"/>
      <c r="AW895" s="109"/>
      <c r="AX895" s="109"/>
      <c r="AY895" s="109"/>
      <c r="AZ895" s="109"/>
    </row>
    <row r="896" spans="20:52" x14ac:dyDescent="0.65">
      <c r="T896" s="109"/>
      <c r="U896" s="109"/>
      <c r="V896" s="109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  <c r="AH896" s="109"/>
      <c r="AI896" s="109"/>
      <c r="AJ896" s="109"/>
      <c r="AK896" s="109"/>
      <c r="AL896" s="109"/>
      <c r="AM896" s="109"/>
      <c r="AN896" s="109"/>
      <c r="AO896" s="109"/>
      <c r="AP896" s="109"/>
      <c r="AQ896" s="109"/>
      <c r="AR896" s="109"/>
      <c r="AS896" s="109"/>
      <c r="AT896" s="109"/>
      <c r="AU896" s="109"/>
      <c r="AV896" s="109"/>
      <c r="AW896" s="109"/>
      <c r="AX896" s="109"/>
      <c r="AY896" s="109"/>
      <c r="AZ896" s="109"/>
    </row>
    <row r="897" spans="20:52" x14ac:dyDescent="0.65">
      <c r="T897" s="109"/>
      <c r="U897" s="109"/>
      <c r="V897" s="109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  <c r="AH897" s="109"/>
      <c r="AI897" s="109"/>
      <c r="AJ897" s="109"/>
      <c r="AK897" s="109"/>
      <c r="AL897" s="109"/>
      <c r="AM897" s="109"/>
      <c r="AN897" s="109"/>
      <c r="AO897" s="109"/>
      <c r="AP897" s="109"/>
      <c r="AQ897" s="109"/>
      <c r="AR897" s="109"/>
      <c r="AS897" s="109"/>
      <c r="AT897" s="109"/>
      <c r="AU897" s="109"/>
      <c r="AV897" s="109"/>
      <c r="AW897" s="109"/>
      <c r="AX897" s="109"/>
      <c r="AY897" s="109"/>
      <c r="AZ897" s="109"/>
    </row>
    <row r="898" spans="20:52" x14ac:dyDescent="0.65">
      <c r="T898" s="109"/>
      <c r="U898" s="109"/>
      <c r="V898" s="109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  <c r="AH898" s="109"/>
      <c r="AI898" s="109"/>
      <c r="AJ898" s="109"/>
      <c r="AK898" s="109"/>
      <c r="AL898" s="109"/>
      <c r="AM898" s="109"/>
      <c r="AN898" s="109"/>
      <c r="AO898" s="109"/>
      <c r="AP898" s="109"/>
      <c r="AQ898" s="109"/>
      <c r="AR898" s="109"/>
      <c r="AS898" s="109"/>
      <c r="AT898" s="109"/>
      <c r="AU898" s="109"/>
      <c r="AV898" s="109"/>
      <c r="AW898" s="109"/>
      <c r="AX898" s="109"/>
      <c r="AY898" s="109"/>
      <c r="AZ898" s="109"/>
    </row>
    <row r="899" spans="20:52" x14ac:dyDescent="0.65">
      <c r="T899" s="109"/>
      <c r="U899" s="109"/>
      <c r="V899" s="109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  <c r="AH899" s="109"/>
      <c r="AI899" s="109"/>
      <c r="AJ899" s="109"/>
      <c r="AK899" s="109"/>
      <c r="AL899" s="109"/>
      <c r="AM899" s="109"/>
      <c r="AN899" s="109"/>
      <c r="AO899" s="109"/>
      <c r="AP899" s="109"/>
      <c r="AQ899" s="109"/>
      <c r="AR899" s="109"/>
      <c r="AS899" s="109"/>
      <c r="AT899" s="109"/>
      <c r="AU899" s="109"/>
      <c r="AV899" s="109"/>
      <c r="AW899" s="109"/>
      <c r="AX899" s="109"/>
      <c r="AY899" s="109"/>
      <c r="AZ899" s="109"/>
    </row>
    <row r="900" spans="20:52" x14ac:dyDescent="0.65">
      <c r="T900" s="109"/>
      <c r="U900" s="109"/>
      <c r="V900" s="109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109"/>
      <c r="AM900" s="109"/>
      <c r="AN900" s="109"/>
      <c r="AO900" s="109"/>
      <c r="AP900" s="109"/>
      <c r="AQ900" s="109"/>
      <c r="AR900" s="109"/>
      <c r="AS900" s="109"/>
      <c r="AT900" s="109"/>
      <c r="AU900" s="109"/>
      <c r="AV900" s="109"/>
      <c r="AW900" s="109"/>
      <c r="AX900" s="109"/>
      <c r="AY900" s="109"/>
      <c r="AZ900" s="109"/>
    </row>
    <row r="901" spans="20:52" x14ac:dyDescent="0.65">
      <c r="T901" s="109"/>
      <c r="U901" s="109"/>
      <c r="V901" s="109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  <c r="AH901" s="109"/>
      <c r="AI901" s="109"/>
      <c r="AJ901" s="109"/>
      <c r="AK901" s="109"/>
      <c r="AL901" s="109"/>
      <c r="AM901" s="109"/>
      <c r="AN901" s="109"/>
      <c r="AO901" s="109"/>
      <c r="AP901" s="109"/>
      <c r="AQ901" s="109"/>
      <c r="AR901" s="109"/>
      <c r="AS901" s="109"/>
      <c r="AT901" s="109"/>
      <c r="AU901" s="109"/>
      <c r="AV901" s="109"/>
      <c r="AW901" s="109"/>
      <c r="AX901" s="109"/>
      <c r="AY901" s="109"/>
      <c r="AZ901" s="109"/>
    </row>
    <row r="902" spans="20:52" x14ac:dyDescent="0.65">
      <c r="T902" s="109"/>
      <c r="U902" s="109"/>
      <c r="V902" s="109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  <c r="AH902" s="109"/>
      <c r="AI902" s="109"/>
      <c r="AJ902" s="109"/>
      <c r="AK902" s="109"/>
      <c r="AL902" s="109"/>
      <c r="AM902" s="109"/>
      <c r="AN902" s="109"/>
      <c r="AO902" s="109"/>
      <c r="AP902" s="109"/>
      <c r="AQ902" s="109"/>
      <c r="AR902" s="109"/>
      <c r="AS902" s="109"/>
      <c r="AT902" s="109"/>
      <c r="AU902" s="109"/>
      <c r="AV902" s="109"/>
      <c r="AW902" s="109"/>
      <c r="AX902" s="109"/>
      <c r="AY902" s="109"/>
      <c r="AZ902" s="109"/>
    </row>
    <row r="903" spans="20:52" x14ac:dyDescent="0.65">
      <c r="T903" s="109"/>
      <c r="U903" s="109"/>
      <c r="V903" s="109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109"/>
      <c r="AI903" s="109"/>
      <c r="AJ903" s="109"/>
      <c r="AK903" s="109"/>
      <c r="AL903" s="109"/>
      <c r="AM903" s="109"/>
      <c r="AN903" s="109"/>
      <c r="AO903" s="109"/>
      <c r="AP903" s="109"/>
      <c r="AQ903" s="109"/>
      <c r="AR903" s="109"/>
      <c r="AS903" s="109"/>
      <c r="AT903" s="109"/>
      <c r="AU903" s="109"/>
      <c r="AV903" s="109"/>
      <c r="AW903" s="109"/>
      <c r="AX903" s="109"/>
      <c r="AY903" s="109"/>
      <c r="AZ903" s="109"/>
    </row>
    <row r="904" spans="20:52" x14ac:dyDescent="0.65">
      <c r="T904" s="109"/>
      <c r="U904" s="109"/>
      <c r="V904" s="109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  <c r="AH904" s="109"/>
      <c r="AI904" s="109"/>
      <c r="AJ904" s="109"/>
      <c r="AK904" s="109"/>
      <c r="AL904" s="109"/>
      <c r="AM904" s="109"/>
      <c r="AN904" s="109"/>
      <c r="AO904" s="109"/>
      <c r="AP904" s="109"/>
      <c r="AQ904" s="109"/>
      <c r="AR904" s="109"/>
      <c r="AS904" s="109"/>
      <c r="AT904" s="109"/>
      <c r="AU904" s="109"/>
      <c r="AV904" s="109"/>
      <c r="AW904" s="109"/>
      <c r="AX904" s="109"/>
      <c r="AY904" s="109"/>
      <c r="AZ904" s="109"/>
    </row>
    <row r="905" spans="20:52" x14ac:dyDescent="0.65">
      <c r="T905" s="109"/>
      <c r="U905" s="109"/>
      <c r="V905" s="109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  <c r="AH905" s="109"/>
      <c r="AI905" s="109"/>
      <c r="AJ905" s="109"/>
      <c r="AK905" s="109"/>
      <c r="AL905" s="109"/>
      <c r="AM905" s="109"/>
      <c r="AN905" s="109"/>
      <c r="AO905" s="109"/>
      <c r="AP905" s="109"/>
      <c r="AQ905" s="109"/>
      <c r="AR905" s="109"/>
      <c r="AS905" s="109"/>
      <c r="AT905" s="109"/>
      <c r="AU905" s="109"/>
      <c r="AV905" s="109"/>
      <c r="AW905" s="109"/>
      <c r="AX905" s="109"/>
      <c r="AY905" s="109"/>
      <c r="AZ905" s="109"/>
    </row>
    <row r="906" spans="20:52" x14ac:dyDescent="0.65">
      <c r="T906" s="109"/>
      <c r="U906" s="109"/>
      <c r="V906" s="109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109"/>
      <c r="AM906" s="109"/>
      <c r="AN906" s="109"/>
      <c r="AO906" s="109"/>
      <c r="AP906" s="109"/>
      <c r="AQ906" s="109"/>
      <c r="AR906" s="109"/>
      <c r="AS906" s="109"/>
      <c r="AT906" s="109"/>
      <c r="AU906" s="109"/>
      <c r="AV906" s="109"/>
      <c r="AW906" s="109"/>
      <c r="AX906" s="109"/>
      <c r="AY906" s="109"/>
      <c r="AZ906" s="109"/>
    </row>
    <row r="907" spans="20:52" x14ac:dyDescent="0.65">
      <c r="T907" s="109"/>
      <c r="U907" s="109"/>
      <c r="V907" s="109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  <c r="AH907" s="109"/>
      <c r="AI907" s="109"/>
      <c r="AJ907" s="109"/>
      <c r="AK907" s="109"/>
      <c r="AL907" s="109"/>
      <c r="AM907" s="109"/>
      <c r="AN907" s="109"/>
      <c r="AO907" s="109"/>
      <c r="AP907" s="109"/>
      <c r="AQ907" s="109"/>
      <c r="AR907" s="109"/>
      <c r="AS907" s="109"/>
      <c r="AT907" s="109"/>
      <c r="AU907" s="109"/>
      <c r="AV907" s="109"/>
      <c r="AW907" s="109"/>
      <c r="AX907" s="109"/>
      <c r="AY907" s="109"/>
      <c r="AZ907" s="109"/>
    </row>
    <row r="908" spans="20:52" x14ac:dyDescent="0.65">
      <c r="T908" s="109"/>
      <c r="U908" s="109"/>
      <c r="V908" s="109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  <c r="AH908" s="109"/>
      <c r="AI908" s="109"/>
      <c r="AJ908" s="109"/>
      <c r="AK908" s="109"/>
      <c r="AL908" s="109"/>
      <c r="AM908" s="109"/>
      <c r="AN908" s="109"/>
      <c r="AO908" s="109"/>
      <c r="AP908" s="109"/>
      <c r="AQ908" s="109"/>
      <c r="AR908" s="109"/>
      <c r="AS908" s="109"/>
      <c r="AT908" s="109"/>
      <c r="AU908" s="109"/>
      <c r="AV908" s="109"/>
      <c r="AW908" s="109"/>
      <c r="AX908" s="109"/>
      <c r="AY908" s="109"/>
      <c r="AZ908" s="109"/>
    </row>
    <row r="909" spans="20:52" x14ac:dyDescent="0.65">
      <c r="T909" s="109"/>
      <c r="U909" s="109"/>
      <c r="V909" s="109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  <c r="AZ909" s="109"/>
    </row>
    <row r="910" spans="20:52" x14ac:dyDescent="0.65">
      <c r="T910" s="109"/>
      <c r="U910" s="109"/>
      <c r="V910" s="109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09"/>
      <c r="AM910" s="109"/>
      <c r="AN910" s="109"/>
      <c r="AO910" s="109"/>
      <c r="AP910" s="109"/>
      <c r="AQ910" s="109"/>
      <c r="AR910" s="109"/>
      <c r="AS910" s="109"/>
      <c r="AT910" s="109"/>
      <c r="AU910" s="109"/>
      <c r="AV910" s="109"/>
      <c r="AW910" s="109"/>
      <c r="AX910" s="109"/>
      <c r="AY910" s="109"/>
      <c r="AZ910" s="109"/>
    </row>
    <row r="911" spans="20:52" x14ac:dyDescent="0.65">
      <c r="T911" s="109"/>
      <c r="U911" s="109"/>
      <c r="V911" s="109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  <c r="AH911" s="109"/>
      <c r="AI911" s="109"/>
      <c r="AJ911" s="109"/>
      <c r="AK911" s="109"/>
      <c r="AL911" s="109"/>
      <c r="AM911" s="109"/>
      <c r="AN911" s="109"/>
      <c r="AO911" s="109"/>
      <c r="AP911" s="109"/>
      <c r="AQ911" s="109"/>
      <c r="AR911" s="109"/>
      <c r="AS911" s="109"/>
      <c r="AT911" s="109"/>
      <c r="AU911" s="109"/>
      <c r="AV911" s="109"/>
      <c r="AW911" s="109"/>
      <c r="AX911" s="109"/>
      <c r="AY911" s="109"/>
      <c r="AZ911" s="109"/>
    </row>
    <row r="912" spans="20:52" x14ac:dyDescent="0.65">
      <c r="T912" s="109"/>
      <c r="U912" s="109"/>
      <c r="V912" s="109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  <c r="AH912" s="109"/>
      <c r="AI912" s="109"/>
      <c r="AJ912" s="109"/>
      <c r="AK912" s="109"/>
      <c r="AL912" s="109"/>
      <c r="AM912" s="109"/>
      <c r="AN912" s="109"/>
      <c r="AO912" s="109"/>
      <c r="AP912" s="109"/>
      <c r="AQ912" s="109"/>
      <c r="AR912" s="109"/>
      <c r="AS912" s="109"/>
      <c r="AT912" s="109"/>
      <c r="AU912" s="109"/>
      <c r="AV912" s="109"/>
      <c r="AW912" s="109"/>
      <c r="AX912" s="109"/>
      <c r="AY912" s="109"/>
      <c r="AZ912" s="109"/>
    </row>
    <row r="913" spans="20:52" x14ac:dyDescent="0.65">
      <c r="T913" s="109"/>
      <c r="U913" s="109"/>
      <c r="V913" s="109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109"/>
      <c r="AM913" s="109"/>
      <c r="AN913" s="109"/>
      <c r="AO913" s="109"/>
      <c r="AP913" s="109"/>
      <c r="AQ913" s="109"/>
      <c r="AR913" s="109"/>
      <c r="AS913" s="109"/>
      <c r="AT913" s="109"/>
      <c r="AU913" s="109"/>
      <c r="AV913" s="109"/>
      <c r="AW913" s="109"/>
      <c r="AX913" s="109"/>
      <c r="AY913" s="109"/>
      <c r="AZ913" s="109"/>
    </row>
    <row r="914" spans="20:52" x14ac:dyDescent="0.65">
      <c r="T914" s="109"/>
      <c r="U914" s="109"/>
      <c r="V914" s="109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  <c r="AH914" s="109"/>
      <c r="AI914" s="109"/>
      <c r="AJ914" s="109"/>
      <c r="AK914" s="109"/>
      <c r="AL914" s="109"/>
      <c r="AM914" s="109"/>
      <c r="AN914" s="109"/>
      <c r="AO914" s="109"/>
      <c r="AP914" s="109"/>
      <c r="AQ914" s="109"/>
      <c r="AR914" s="109"/>
      <c r="AS914" s="109"/>
      <c r="AT914" s="109"/>
      <c r="AU914" s="109"/>
      <c r="AV914" s="109"/>
      <c r="AW914" s="109"/>
      <c r="AX914" s="109"/>
      <c r="AY914" s="109"/>
      <c r="AZ914" s="109"/>
    </row>
    <row r="915" spans="20:52" x14ac:dyDescent="0.65">
      <c r="T915" s="109"/>
      <c r="U915" s="109"/>
      <c r="V915" s="109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109"/>
      <c r="AM915" s="109"/>
      <c r="AN915" s="109"/>
      <c r="AO915" s="109"/>
      <c r="AP915" s="109"/>
      <c r="AQ915" s="109"/>
      <c r="AR915" s="109"/>
      <c r="AS915" s="109"/>
      <c r="AT915" s="109"/>
      <c r="AU915" s="109"/>
      <c r="AV915" s="109"/>
      <c r="AW915" s="109"/>
      <c r="AX915" s="109"/>
      <c r="AY915" s="109"/>
      <c r="AZ915" s="109"/>
    </row>
    <row r="916" spans="20:52" x14ac:dyDescent="0.65">
      <c r="T916" s="109"/>
      <c r="U916" s="109"/>
      <c r="V916" s="109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  <c r="AH916" s="109"/>
      <c r="AI916" s="109"/>
      <c r="AJ916" s="109"/>
      <c r="AK916" s="109"/>
      <c r="AL916" s="109"/>
      <c r="AM916" s="109"/>
      <c r="AN916" s="109"/>
      <c r="AO916" s="109"/>
      <c r="AP916" s="109"/>
      <c r="AQ916" s="109"/>
      <c r="AR916" s="109"/>
      <c r="AS916" s="109"/>
      <c r="AT916" s="109"/>
      <c r="AU916" s="109"/>
      <c r="AV916" s="109"/>
      <c r="AW916" s="109"/>
      <c r="AX916" s="109"/>
      <c r="AY916" s="109"/>
      <c r="AZ916" s="109"/>
    </row>
    <row r="917" spans="20:52" x14ac:dyDescent="0.65">
      <c r="T917" s="109"/>
      <c r="U917" s="109"/>
      <c r="V917" s="109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109"/>
      <c r="AM917" s="109"/>
      <c r="AN917" s="109"/>
      <c r="AO917" s="109"/>
      <c r="AP917" s="109"/>
      <c r="AQ917" s="109"/>
      <c r="AR917" s="109"/>
      <c r="AS917" s="109"/>
      <c r="AT917" s="109"/>
      <c r="AU917" s="109"/>
      <c r="AV917" s="109"/>
      <c r="AW917" s="109"/>
      <c r="AX917" s="109"/>
      <c r="AY917" s="109"/>
      <c r="AZ917" s="109"/>
    </row>
    <row r="918" spans="20:52" x14ac:dyDescent="0.65">
      <c r="T918" s="109"/>
      <c r="U918" s="109"/>
      <c r="V918" s="109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  <c r="AH918" s="109"/>
      <c r="AI918" s="109"/>
      <c r="AJ918" s="109"/>
      <c r="AK918" s="109"/>
      <c r="AL918" s="109"/>
      <c r="AM918" s="109"/>
      <c r="AN918" s="109"/>
      <c r="AO918" s="109"/>
      <c r="AP918" s="109"/>
      <c r="AQ918" s="109"/>
      <c r="AR918" s="109"/>
      <c r="AS918" s="109"/>
      <c r="AT918" s="109"/>
      <c r="AU918" s="109"/>
      <c r="AV918" s="109"/>
      <c r="AW918" s="109"/>
      <c r="AX918" s="109"/>
      <c r="AY918" s="109"/>
      <c r="AZ918" s="109"/>
    </row>
    <row r="919" spans="20:52" x14ac:dyDescent="0.65">
      <c r="T919" s="109"/>
      <c r="U919" s="109"/>
      <c r="V919" s="109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109"/>
      <c r="AM919" s="109"/>
      <c r="AN919" s="109"/>
      <c r="AO919" s="109"/>
      <c r="AP919" s="109"/>
      <c r="AQ919" s="109"/>
      <c r="AR919" s="109"/>
      <c r="AS919" s="109"/>
      <c r="AT919" s="109"/>
      <c r="AU919" s="109"/>
      <c r="AV919" s="109"/>
      <c r="AW919" s="109"/>
      <c r="AX919" s="109"/>
      <c r="AY919" s="109"/>
      <c r="AZ919" s="109"/>
    </row>
    <row r="920" spans="20:52" x14ac:dyDescent="0.65">
      <c r="T920" s="109"/>
      <c r="U920" s="109"/>
      <c r="V920" s="109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  <c r="AH920" s="109"/>
      <c r="AI920" s="109"/>
      <c r="AJ920" s="109"/>
      <c r="AK920" s="109"/>
      <c r="AL920" s="109"/>
      <c r="AM920" s="109"/>
      <c r="AN920" s="109"/>
      <c r="AO920" s="109"/>
      <c r="AP920" s="109"/>
      <c r="AQ920" s="109"/>
      <c r="AR920" s="109"/>
      <c r="AS920" s="109"/>
      <c r="AT920" s="109"/>
      <c r="AU920" s="109"/>
      <c r="AV920" s="109"/>
      <c r="AW920" s="109"/>
      <c r="AX920" s="109"/>
      <c r="AY920" s="109"/>
      <c r="AZ920" s="109"/>
    </row>
    <row r="921" spans="20:52" x14ac:dyDescent="0.65">
      <c r="T921" s="109"/>
      <c r="U921" s="109"/>
      <c r="V921" s="109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109"/>
      <c r="AM921" s="109"/>
      <c r="AN921" s="109"/>
      <c r="AO921" s="109"/>
      <c r="AP921" s="109"/>
      <c r="AQ921" s="109"/>
      <c r="AR921" s="109"/>
      <c r="AS921" s="109"/>
      <c r="AT921" s="109"/>
      <c r="AU921" s="109"/>
      <c r="AV921" s="109"/>
      <c r="AW921" s="109"/>
      <c r="AX921" s="109"/>
      <c r="AY921" s="109"/>
      <c r="AZ921" s="109"/>
    </row>
    <row r="922" spans="20:52" x14ac:dyDescent="0.65">
      <c r="T922" s="109"/>
      <c r="U922" s="109"/>
      <c r="V922" s="109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  <c r="AH922" s="109"/>
      <c r="AI922" s="109"/>
      <c r="AJ922" s="109"/>
      <c r="AK922" s="109"/>
      <c r="AL922" s="109"/>
      <c r="AM922" s="109"/>
      <c r="AN922" s="109"/>
      <c r="AO922" s="109"/>
      <c r="AP922" s="109"/>
      <c r="AQ922" s="109"/>
      <c r="AR922" s="109"/>
      <c r="AS922" s="109"/>
      <c r="AT922" s="109"/>
      <c r="AU922" s="109"/>
      <c r="AV922" s="109"/>
      <c r="AW922" s="109"/>
      <c r="AX922" s="109"/>
      <c r="AY922" s="109"/>
      <c r="AZ922" s="109"/>
    </row>
    <row r="923" spans="20:52" x14ac:dyDescent="0.65">
      <c r="T923" s="109"/>
      <c r="U923" s="109"/>
      <c r="V923" s="109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109"/>
      <c r="AM923" s="109"/>
      <c r="AN923" s="109"/>
      <c r="AO923" s="109"/>
      <c r="AP923" s="109"/>
      <c r="AQ923" s="109"/>
      <c r="AR923" s="109"/>
      <c r="AS923" s="109"/>
      <c r="AT923" s="109"/>
      <c r="AU923" s="109"/>
      <c r="AV923" s="109"/>
      <c r="AW923" s="109"/>
      <c r="AX923" s="109"/>
      <c r="AY923" s="109"/>
      <c r="AZ923" s="109"/>
    </row>
    <row r="924" spans="20:52" x14ac:dyDescent="0.65">
      <c r="T924" s="109"/>
      <c r="U924" s="109"/>
      <c r="V924" s="109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  <c r="AH924" s="109"/>
      <c r="AI924" s="109"/>
      <c r="AJ924" s="109"/>
      <c r="AK924" s="109"/>
      <c r="AL924" s="109"/>
      <c r="AM924" s="109"/>
      <c r="AN924" s="109"/>
      <c r="AO924" s="109"/>
      <c r="AP924" s="109"/>
      <c r="AQ924" s="109"/>
      <c r="AR924" s="109"/>
      <c r="AS924" s="109"/>
      <c r="AT924" s="109"/>
      <c r="AU924" s="109"/>
      <c r="AV924" s="109"/>
      <c r="AW924" s="109"/>
      <c r="AX924" s="109"/>
      <c r="AY924" s="109"/>
      <c r="AZ924" s="109"/>
    </row>
    <row r="925" spans="20:52" x14ac:dyDescent="0.65">
      <c r="T925" s="109"/>
      <c r="U925" s="109"/>
      <c r="V925" s="109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  <c r="AH925" s="109"/>
      <c r="AI925" s="109"/>
      <c r="AJ925" s="109"/>
      <c r="AK925" s="109"/>
      <c r="AL925" s="109"/>
      <c r="AM925" s="109"/>
      <c r="AN925" s="109"/>
      <c r="AO925" s="109"/>
      <c r="AP925" s="109"/>
      <c r="AQ925" s="109"/>
      <c r="AR925" s="109"/>
      <c r="AS925" s="109"/>
      <c r="AT925" s="109"/>
      <c r="AU925" s="109"/>
      <c r="AV925" s="109"/>
      <c r="AW925" s="109"/>
      <c r="AX925" s="109"/>
      <c r="AY925" s="109"/>
      <c r="AZ925" s="109"/>
    </row>
    <row r="926" spans="20:52" x14ac:dyDescent="0.65">
      <c r="T926" s="109"/>
      <c r="U926" s="109"/>
      <c r="V926" s="109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  <c r="AH926" s="109"/>
      <c r="AI926" s="109"/>
      <c r="AJ926" s="109"/>
      <c r="AK926" s="109"/>
      <c r="AL926" s="109"/>
      <c r="AM926" s="109"/>
      <c r="AN926" s="109"/>
      <c r="AO926" s="109"/>
      <c r="AP926" s="109"/>
      <c r="AQ926" s="109"/>
      <c r="AR926" s="109"/>
      <c r="AS926" s="109"/>
      <c r="AT926" s="109"/>
      <c r="AU926" s="109"/>
      <c r="AV926" s="109"/>
      <c r="AW926" s="109"/>
      <c r="AX926" s="109"/>
      <c r="AY926" s="109"/>
      <c r="AZ926" s="109"/>
    </row>
    <row r="927" spans="20:52" x14ac:dyDescent="0.65">
      <c r="T927" s="109"/>
      <c r="U927" s="109"/>
      <c r="V927" s="109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  <c r="AH927" s="109"/>
      <c r="AI927" s="109"/>
      <c r="AJ927" s="109"/>
      <c r="AK927" s="109"/>
      <c r="AL927" s="109"/>
      <c r="AM927" s="109"/>
      <c r="AN927" s="109"/>
      <c r="AO927" s="109"/>
      <c r="AP927" s="109"/>
      <c r="AQ927" s="109"/>
      <c r="AR927" s="109"/>
      <c r="AS927" s="109"/>
      <c r="AT927" s="109"/>
      <c r="AU927" s="109"/>
      <c r="AV927" s="109"/>
      <c r="AW927" s="109"/>
      <c r="AX927" s="109"/>
      <c r="AY927" s="109"/>
      <c r="AZ927" s="109"/>
    </row>
    <row r="928" spans="20:52" x14ac:dyDescent="0.65">
      <c r="T928" s="109"/>
      <c r="U928" s="109"/>
      <c r="V928" s="109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  <c r="AH928" s="109"/>
      <c r="AI928" s="109"/>
      <c r="AJ928" s="109"/>
      <c r="AK928" s="109"/>
      <c r="AL928" s="109"/>
      <c r="AM928" s="109"/>
      <c r="AN928" s="109"/>
      <c r="AO928" s="109"/>
      <c r="AP928" s="109"/>
      <c r="AQ928" s="109"/>
      <c r="AR928" s="109"/>
      <c r="AS928" s="109"/>
      <c r="AT928" s="109"/>
      <c r="AU928" s="109"/>
      <c r="AV928" s="109"/>
      <c r="AW928" s="109"/>
      <c r="AX928" s="109"/>
      <c r="AY928" s="109"/>
      <c r="AZ928" s="109"/>
    </row>
    <row r="929" spans="20:52" x14ac:dyDescent="0.65">
      <c r="T929" s="109"/>
      <c r="U929" s="109"/>
      <c r="V929" s="109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  <c r="AH929" s="109"/>
      <c r="AI929" s="109"/>
      <c r="AJ929" s="109"/>
      <c r="AK929" s="109"/>
      <c r="AL929" s="109"/>
      <c r="AM929" s="109"/>
      <c r="AN929" s="109"/>
      <c r="AO929" s="109"/>
      <c r="AP929" s="109"/>
      <c r="AQ929" s="109"/>
      <c r="AR929" s="109"/>
      <c r="AS929" s="109"/>
      <c r="AT929" s="109"/>
      <c r="AU929" s="109"/>
      <c r="AV929" s="109"/>
      <c r="AW929" s="109"/>
      <c r="AX929" s="109"/>
      <c r="AY929" s="109"/>
      <c r="AZ929" s="109"/>
    </row>
    <row r="930" spans="20:52" x14ac:dyDescent="0.65">
      <c r="T930" s="109"/>
      <c r="U930" s="109"/>
      <c r="V930" s="109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  <c r="AH930" s="109"/>
      <c r="AI930" s="109"/>
      <c r="AJ930" s="109"/>
      <c r="AK930" s="109"/>
      <c r="AL930" s="109"/>
      <c r="AM930" s="109"/>
      <c r="AN930" s="109"/>
      <c r="AO930" s="109"/>
      <c r="AP930" s="109"/>
      <c r="AQ930" s="109"/>
      <c r="AR930" s="109"/>
      <c r="AS930" s="109"/>
      <c r="AT930" s="109"/>
      <c r="AU930" s="109"/>
      <c r="AV930" s="109"/>
      <c r="AW930" s="109"/>
      <c r="AX930" s="109"/>
      <c r="AY930" s="109"/>
      <c r="AZ930" s="109"/>
    </row>
    <row r="931" spans="20:52" x14ac:dyDescent="0.65">
      <c r="T931" s="109"/>
      <c r="U931" s="109"/>
      <c r="V931" s="109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  <c r="AH931" s="109"/>
      <c r="AI931" s="109"/>
      <c r="AJ931" s="109"/>
      <c r="AK931" s="109"/>
      <c r="AL931" s="109"/>
      <c r="AM931" s="109"/>
      <c r="AN931" s="109"/>
      <c r="AO931" s="109"/>
      <c r="AP931" s="109"/>
      <c r="AQ931" s="109"/>
      <c r="AR931" s="109"/>
      <c r="AS931" s="109"/>
      <c r="AT931" s="109"/>
      <c r="AU931" s="109"/>
      <c r="AV931" s="109"/>
      <c r="AW931" s="109"/>
      <c r="AX931" s="109"/>
      <c r="AY931" s="109"/>
      <c r="AZ931" s="109"/>
    </row>
    <row r="932" spans="20:52" x14ac:dyDescent="0.65">
      <c r="T932" s="109"/>
      <c r="U932" s="109"/>
      <c r="V932" s="109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  <c r="AH932" s="109"/>
      <c r="AI932" s="109"/>
      <c r="AJ932" s="109"/>
      <c r="AK932" s="109"/>
      <c r="AL932" s="109"/>
      <c r="AM932" s="109"/>
      <c r="AN932" s="109"/>
      <c r="AO932" s="109"/>
      <c r="AP932" s="109"/>
      <c r="AQ932" s="109"/>
      <c r="AR932" s="109"/>
      <c r="AS932" s="109"/>
      <c r="AT932" s="109"/>
      <c r="AU932" s="109"/>
      <c r="AV932" s="109"/>
      <c r="AW932" s="109"/>
      <c r="AX932" s="109"/>
      <c r="AY932" s="109"/>
      <c r="AZ932" s="109"/>
    </row>
    <row r="933" spans="20:52" x14ac:dyDescent="0.65">
      <c r="T933" s="109"/>
      <c r="U933" s="109"/>
      <c r="V933" s="109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  <c r="AH933" s="109"/>
      <c r="AI933" s="109"/>
      <c r="AJ933" s="109"/>
      <c r="AK933" s="109"/>
      <c r="AL933" s="109"/>
      <c r="AM933" s="109"/>
      <c r="AN933" s="109"/>
      <c r="AO933" s="109"/>
      <c r="AP933" s="109"/>
      <c r="AQ933" s="109"/>
      <c r="AR933" s="109"/>
      <c r="AS933" s="109"/>
      <c r="AT933" s="109"/>
      <c r="AU933" s="109"/>
      <c r="AV933" s="109"/>
      <c r="AW933" s="109"/>
      <c r="AX933" s="109"/>
      <c r="AY933" s="109"/>
      <c r="AZ933" s="109"/>
    </row>
    <row r="934" spans="20:52" x14ac:dyDescent="0.65">
      <c r="T934" s="109"/>
      <c r="U934" s="109"/>
      <c r="V934" s="109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  <c r="AH934" s="109"/>
      <c r="AI934" s="109"/>
      <c r="AJ934" s="109"/>
      <c r="AK934" s="109"/>
      <c r="AL934" s="109"/>
      <c r="AM934" s="109"/>
      <c r="AN934" s="109"/>
      <c r="AO934" s="109"/>
      <c r="AP934" s="109"/>
      <c r="AQ934" s="109"/>
      <c r="AR934" s="109"/>
      <c r="AS934" s="109"/>
      <c r="AT934" s="109"/>
      <c r="AU934" s="109"/>
      <c r="AV934" s="109"/>
      <c r="AW934" s="109"/>
      <c r="AX934" s="109"/>
      <c r="AY934" s="109"/>
      <c r="AZ934" s="109"/>
    </row>
    <row r="935" spans="20:52" x14ac:dyDescent="0.65">
      <c r="T935" s="109"/>
      <c r="U935" s="109"/>
      <c r="V935" s="109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  <c r="AH935" s="109"/>
      <c r="AI935" s="109"/>
      <c r="AJ935" s="109"/>
      <c r="AK935" s="109"/>
      <c r="AL935" s="109"/>
      <c r="AM935" s="109"/>
      <c r="AN935" s="109"/>
      <c r="AO935" s="109"/>
      <c r="AP935" s="109"/>
      <c r="AQ935" s="109"/>
      <c r="AR935" s="109"/>
      <c r="AS935" s="109"/>
      <c r="AT935" s="109"/>
      <c r="AU935" s="109"/>
      <c r="AV935" s="109"/>
      <c r="AW935" s="109"/>
      <c r="AX935" s="109"/>
      <c r="AY935" s="109"/>
      <c r="AZ935" s="109"/>
    </row>
    <row r="936" spans="20:52" x14ac:dyDescent="0.65">
      <c r="T936" s="109"/>
      <c r="U936" s="109"/>
      <c r="V936" s="109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  <c r="AH936" s="109"/>
      <c r="AI936" s="109"/>
      <c r="AJ936" s="109"/>
      <c r="AK936" s="109"/>
      <c r="AL936" s="109"/>
      <c r="AM936" s="109"/>
      <c r="AN936" s="109"/>
      <c r="AO936" s="109"/>
      <c r="AP936" s="109"/>
      <c r="AQ936" s="109"/>
      <c r="AR936" s="109"/>
      <c r="AS936" s="109"/>
      <c r="AT936" s="109"/>
      <c r="AU936" s="109"/>
      <c r="AV936" s="109"/>
      <c r="AW936" s="109"/>
      <c r="AX936" s="109"/>
      <c r="AY936" s="109"/>
      <c r="AZ936" s="109"/>
    </row>
    <row r="937" spans="20:52" x14ac:dyDescent="0.65">
      <c r="T937" s="109"/>
      <c r="U937" s="109"/>
      <c r="V937" s="109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  <c r="AH937" s="109"/>
      <c r="AI937" s="109"/>
      <c r="AJ937" s="109"/>
      <c r="AK937" s="109"/>
      <c r="AL937" s="109"/>
      <c r="AM937" s="109"/>
      <c r="AN937" s="109"/>
      <c r="AO937" s="109"/>
      <c r="AP937" s="109"/>
      <c r="AQ937" s="109"/>
      <c r="AR937" s="109"/>
      <c r="AS937" s="109"/>
      <c r="AT937" s="109"/>
      <c r="AU937" s="109"/>
      <c r="AV937" s="109"/>
      <c r="AW937" s="109"/>
      <c r="AX937" s="109"/>
      <c r="AY937" s="109"/>
      <c r="AZ937" s="109"/>
    </row>
    <row r="938" spans="20:52" x14ac:dyDescent="0.65">
      <c r="T938" s="109"/>
      <c r="U938" s="109"/>
      <c r="V938" s="109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  <c r="AH938" s="109"/>
      <c r="AI938" s="109"/>
      <c r="AJ938" s="109"/>
      <c r="AK938" s="109"/>
      <c r="AL938" s="109"/>
      <c r="AM938" s="109"/>
      <c r="AN938" s="109"/>
      <c r="AO938" s="109"/>
      <c r="AP938" s="109"/>
      <c r="AQ938" s="109"/>
      <c r="AR938" s="109"/>
      <c r="AS938" s="109"/>
      <c r="AT938" s="109"/>
      <c r="AU938" s="109"/>
      <c r="AV938" s="109"/>
      <c r="AW938" s="109"/>
      <c r="AX938" s="109"/>
      <c r="AY938" s="109"/>
      <c r="AZ938" s="109"/>
    </row>
    <row r="939" spans="20:52" x14ac:dyDescent="0.65">
      <c r="T939" s="109"/>
      <c r="U939" s="109"/>
      <c r="V939" s="109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  <c r="AH939" s="109"/>
      <c r="AI939" s="109"/>
      <c r="AJ939" s="109"/>
      <c r="AK939" s="109"/>
      <c r="AL939" s="109"/>
      <c r="AM939" s="109"/>
      <c r="AN939" s="109"/>
      <c r="AO939" s="109"/>
      <c r="AP939" s="109"/>
      <c r="AQ939" s="109"/>
      <c r="AR939" s="109"/>
      <c r="AS939" s="109"/>
      <c r="AT939" s="109"/>
      <c r="AU939" s="109"/>
      <c r="AV939" s="109"/>
      <c r="AW939" s="109"/>
      <c r="AX939" s="109"/>
      <c r="AY939" s="109"/>
      <c r="AZ939" s="109"/>
    </row>
    <row r="940" spans="20:52" x14ac:dyDescent="0.65">
      <c r="T940" s="109"/>
      <c r="U940" s="109"/>
      <c r="V940" s="109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  <c r="AH940" s="109"/>
      <c r="AI940" s="109"/>
      <c r="AJ940" s="109"/>
      <c r="AK940" s="109"/>
      <c r="AL940" s="109"/>
      <c r="AM940" s="109"/>
      <c r="AN940" s="109"/>
      <c r="AO940" s="109"/>
      <c r="AP940" s="109"/>
      <c r="AQ940" s="109"/>
      <c r="AR940" s="109"/>
      <c r="AS940" s="109"/>
      <c r="AT940" s="109"/>
      <c r="AU940" s="109"/>
      <c r="AV940" s="109"/>
      <c r="AW940" s="109"/>
      <c r="AX940" s="109"/>
      <c r="AY940" s="109"/>
      <c r="AZ940" s="109"/>
    </row>
    <row r="941" spans="20:52" x14ac:dyDescent="0.65">
      <c r="T941" s="109"/>
      <c r="U941" s="109"/>
      <c r="V941" s="109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  <c r="AH941" s="109"/>
      <c r="AI941" s="109"/>
      <c r="AJ941" s="109"/>
      <c r="AK941" s="109"/>
      <c r="AL941" s="109"/>
      <c r="AM941" s="109"/>
      <c r="AN941" s="109"/>
      <c r="AO941" s="109"/>
      <c r="AP941" s="109"/>
      <c r="AQ941" s="109"/>
      <c r="AR941" s="109"/>
      <c r="AS941" s="109"/>
      <c r="AT941" s="109"/>
      <c r="AU941" s="109"/>
      <c r="AV941" s="109"/>
      <c r="AW941" s="109"/>
      <c r="AX941" s="109"/>
      <c r="AY941" s="109"/>
      <c r="AZ941" s="109"/>
    </row>
    <row r="942" spans="20:52" x14ac:dyDescent="0.65">
      <c r="T942" s="109"/>
      <c r="U942" s="109"/>
      <c r="V942" s="109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  <c r="AH942" s="109"/>
      <c r="AI942" s="109"/>
      <c r="AJ942" s="109"/>
      <c r="AK942" s="109"/>
      <c r="AL942" s="109"/>
      <c r="AM942" s="109"/>
      <c r="AN942" s="109"/>
      <c r="AO942" s="109"/>
      <c r="AP942" s="109"/>
      <c r="AQ942" s="109"/>
      <c r="AR942" s="109"/>
      <c r="AS942" s="109"/>
      <c r="AT942" s="109"/>
      <c r="AU942" s="109"/>
      <c r="AV942" s="109"/>
      <c r="AW942" s="109"/>
      <c r="AX942" s="109"/>
      <c r="AY942" s="109"/>
      <c r="AZ942" s="109"/>
    </row>
    <row r="943" spans="20:52" x14ac:dyDescent="0.65">
      <c r="T943" s="109"/>
      <c r="U943" s="109"/>
      <c r="V943" s="109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  <c r="AH943" s="109"/>
      <c r="AI943" s="109"/>
      <c r="AJ943" s="109"/>
      <c r="AK943" s="109"/>
      <c r="AL943" s="109"/>
      <c r="AM943" s="109"/>
      <c r="AN943" s="109"/>
      <c r="AO943" s="109"/>
      <c r="AP943" s="109"/>
      <c r="AQ943" s="109"/>
      <c r="AR943" s="109"/>
      <c r="AS943" s="109"/>
      <c r="AT943" s="109"/>
      <c r="AU943" s="109"/>
      <c r="AV943" s="109"/>
      <c r="AW943" s="109"/>
      <c r="AX943" s="109"/>
      <c r="AY943" s="109"/>
      <c r="AZ943" s="109"/>
    </row>
    <row r="944" spans="20:52" x14ac:dyDescent="0.65">
      <c r="T944" s="109"/>
      <c r="U944" s="109"/>
      <c r="V944" s="109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  <c r="AH944" s="109"/>
      <c r="AI944" s="109"/>
      <c r="AJ944" s="109"/>
      <c r="AK944" s="109"/>
      <c r="AL944" s="109"/>
      <c r="AM944" s="109"/>
      <c r="AN944" s="109"/>
      <c r="AO944" s="109"/>
      <c r="AP944" s="109"/>
      <c r="AQ944" s="109"/>
      <c r="AR944" s="109"/>
      <c r="AS944" s="109"/>
      <c r="AT944" s="109"/>
      <c r="AU944" s="109"/>
      <c r="AV944" s="109"/>
      <c r="AW944" s="109"/>
      <c r="AX944" s="109"/>
      <c r="AY944" s="109"/>
      <c r="AZ944" s="109"/>
    </row>
    <row r="945" spans="20:52" x14ac:dyDescent="0.65">
      <c r="T945" s="109"/>
      <c r="U945" s="109"/>
      <c r="V945" s="109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  <c r="AH945" s="109"/>
      <c r="AI945" s="109"/>
      <c r="AJ945" s="109"/>
      <c r="AK945" s="109"/>
      <c r="AL945" s="109"/>
      <c r="AM945" s="109"/>
      <c r="AN945" s="109"/>
      <c r="AO945" s="109"/>
      <c r="AP945" s="109"/>
      <c r="AQ945" s="109"/>
      <c r="AR945" s="109"/>
      <c r="AS945" s="109"/>
      <c r="AT945" s="109"/>
      <c r="AU945" s="109"/>
      <c r="AV945" s="109"/>
      <c r="AW945" s="109"/>
      <c r="AX945" s="109"/>
      <c r="AY945" s="109"/>
      <c r="AZ945" s="109"/>
    </row>
    <row r="946" spans="20:52" x14ac:dyDescent="0.65">
      <c r="T946" s="109"/>
      <c r="U946" s="109"/>
      <c r="V946" s="109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  <c r="AH946" s="109"/>
      <c r="AI946" s="109"/>
      <c r="AJ946" s="109"/>
      <c r="AK946" s="109"/>
      <c r="AL946" s="109"/>
      <c r="AM946" s="109"/>
      <c r="AN946" s="109"/>
      <c r="AO946" s="109"/>
      <c r="AP946" s="109"/>
      <c r="AQ946" s="109"/>
      <c r="AR946" s="109"/>
      <c r="AS946" s="109"/>
      <c r="AT946" s="109"/>
      <c r="AU946" s="109"/>
      <c r="AV946" s="109"/>
      <c r="AW946" s="109"/>
      <c r="AX946" s="109"/>
      <c r="AY946" s="109"/>
      <c r="AZ946" s="109"/>
    </row>
    <row r="947" spans="20:52" x14ac:dyDescent="0.65">
      <c r="T947" s="109"/>
      <c r="U947" s="109"/>
      <c r="V947" s="109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09"/>
      <c r="AM947" s="109"/>
      <c r="AN947" s="109"/>
      <c r="AO947" s="109"/>
      <c r="AP947" s="109"/>
      <c r="AQ947" s="109"/>
      <c r="AR947" s="109"/>
      <c r="AS947" s="109"/>
      <c r="AT947" s="109"/>
      <c r="AU947" s="109"/>
      <c r="AV947" s="109"/>
      <c r="AW947" s="109"/>
      <c r="AX947" s="109"/>
      <c r="AY947" s="109"/>
      <c r="AZ947" s="109"/>
    </row>
    <row r="948" spans="20:52" x14ac:dyDescent="0.65">
      <c r="T948" s="109"/>
      <c r="U948" s="109"/>
      <c r="V948" s="109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  <c r="AH948" s="109"/>
      <c r="AI948" s="109"/>
      <c r="AJ948" s="109"/>
      <c r="AK948" s="109"/>
      <c r="AL948" s="109"/>
      <c r="AM948" s="109"/>
      <c r="AN948" s="109"/>
      <c r="AO948" s="109"/>
      <c r="AP948" s="109"/>
      <c r="AQ948" s="109"/>
      <c r="AR948" s="109"/>
      <c r="AS948" s="109"/>
      <c r="AT948" s="109"/>
      <c r="AU948" s="109"/>
      <c r="AV948" s="109"/>
      <c r="AW948" s="109"/>
      <c r="AX948" s="109"/>
      <c r="AY948" s="109"/>
      <c r="AZ948" s="109"/>
    </row>
    <row r="949" spans="20:52" x14ac:dyDescent="0.65">
      <c r="T949" s="109"/>
      <c r="U949" s="109"/>
      <c r="V949" s="109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  <c r="AH949" s="109"/>
      <c r="AI949" s="109"/>
      <c r="AJ949" s="109"/>
      <c r="AK949" s="109"/>
      <c r="AL949" s="109"/>
      <c r="AM949" s="109"/>
      <c r="AN949" s="109"/>
      <c r="AO949" s="109"/>
      <c r="AP949" s="109"/>
      <c r="AQ949" s="109"/>
      <c r="AR949" s="109"/>
      <c r="AS949" s="109"/>
      <c r="AT949" s="109"/>
      <c r="AU949" s="109"/>
      <c r="AV949" s="109"/>
      <c r="AW949" s="109"/>
      <c r="AX949" s="109"/>
      <c r="AY949" s="109"/>
      <c r="AZ949" s="109"/>
    </row>
    <row r="950" spans="20:52" x14ac:dyDescent="0.65">
      <c r="T950" s="109"/>
      <c r="U950" s="109"/>
      <c r="V950" s="109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  <c r="AH950" s="109"/>
      <c r="AI950" s="109"/>
      <c r="AJ950" s="109"/>
      <c r="AK950" s="109"/>
      <c r="AL950" s="109"/>
      <c r="AM950" s="109"/>
      <c r="AN950" s="109"/>
      <c r="AO950" s="109"/>
      <c r="AP950" s="109"/>
      <c r="AQ950" s="109"/>
      <c r="AR950" s="109"/>
      <c r="AS950" s="109"/>
      <c r="AT950" s="109"/>
      <c r="AU950" s="109"/>
      <c r="AV950" s="109"/>
      <c r="AW950" s="109"/>
      <c r="AX950" s="109"/>
      <c r="AY950" s="109"/>
      <c r="AZ950" s="109"/>
    </row>
    <row r="951" spans="20:52" x14ac:dyDescent="0.65">
      <c r="T951" s="109"/>
      <c r="U951" s="109"/>
      <c r="V951" s="109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  <c r="AH951" s="109"/>
      <c r="AI951" s="109"/>
      <c r="AJ951" s="109"/>
      <c r="AK951" s="109"/>
      <c r="AL951" s="109"/>
      <c r="AM951" s="109"/>
      <c r="AN951" s="109"/>
      <c r="AO951" s="109"/>
      <c r="AP951" s="109"/>
      <c r="AQ951" s="109"/>
      <c r="AR951" s="109"/>
      <c r="AS951" s="109"/>
      <c r="AT951" s="109"/>
      <c r="AU951" s="109"/>
      <c r="AV951" s="109"/>
      <c r="AW951" s="109"/>
      <c r="AX951" s="109"/>
      <c r="AY951" s="109"/>
      <c r="AZ951" s="109"/>
    </row>
    <row r="952" spans="20:52" x14ac:dyDescent="0.65">
      <c r="T952" s="109"/>
      <c r="U952" s="109"/>
      <c r="V952" s="109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  <c r="AH952" s="109"/>
      <c r="AI952" s="109"/>
      <c r="AJ952" s="109"/>
      <c r="AK952" s="109"/>
      <c r="AL952" s="109"/>
      <c r="AM952" s="109"/>
      <c r="AN952" s="109"/>
      <c r="AO952" s="109"/>
      <c r="AP952" s="109"/>
      <c r="AQ952" s="109"/>
      <c r="AR952" s="109"/>
      <c r="AS952" s="109"/>
      <c r="AT952" s="109"/>
      <c r="AU952" s="109"/>
      <c r="AV952" s="109"/>
      <c r="AW952" s="109"/>
      <c r="AX952" s="109"/>
      <c r="AY952" s="109"/>
      <c r="AZ952" s="109"/>
    </row>
    <row r="953" spans="20:52" x14ac:dyDescent="0.65">
      <c r="T953" s="109"/>
      <c r="U953" s="109"/>
      <c r="V953" s="109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  <c r="AH953" s="109"/>
      <c r="AI953" s="109"/>
      <c r="AJ953" s="109"/>
      <c r="AK953" s="109"/>
      <c r="AL953" s="109"/>
      <c r="AM953" s="109"/>
      <c r="AN953" s="109"/>
      <c r="AO953" s="109"/>
      <c r="AP953" s="109"/>
      <c r="AQ953" s="109"/>
      <c r="AR953" s="109"/>
      <c r="AS953" s="109"/>
      <c r="AT953" s="109"/>
      <c r="AU953" s="109"/>
      <c r="AV953" s="109"/>
      <c r="AW953" s="109"/>
      <c r="AX953" s="109"/>
      <c r="AY953" s="109"/>
      <c r="AZ953" s="109"/>
    </row>
    <row r="954" spans="20:52" x14ac:dyDescent="0.65">
      <c r="T954" s="109"/>
      <c r="U954" s="109"/>
      <c r="V954" s="109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  <c r="AH954" s="109"/>
      <c r="AI954" s="109"/>
      <c r="AJ954" s="109"/>
      <c r="AK954" s="109"/>
      <c r="AL954" s="109"/>
      <c r="AM954" s="109"/>
      <c r="AN954" s="109"/>
      <c r="AO954" s="109"/>
      <c r="AP954" s="109"/>
      <c r="AQ954" s="109"/>
      <c r="AR954" s="109"/>
      <c r="AS954" s="109"/>
      <c r="AT954" s="109"/>
      <c r="AU954" s="109"/>
      <c r="AV954" s="109"/>
      <c r="AW954" s="109"/>
      <c r="AX954" s="109"/>
      <c r="AY954" s="109"/>
      <c r="AZ954" s="109"/>
    </row>
    <row r="955" spans="20:52" x14ac:dyDescent="0.65">
      <c r="T955" s="109"/>
      <c r="U955" s="109"/>
      <c r="V955" s="109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  <c r="AH955" s="109"/>
      <c r="AI955" s="109"/>
      <c r="AJ955" s="109"/>
      <c r="AK955" s="109"/>
      <c r="AL955" s="109"/>
      <c r="AM955" s="109"/>
      <c r="AN955" s="109"/>
      <c r="AO955" s="109"/>
      <c r="AP955" s="109"/>
      <c r="AQ955" s="109"/>
      <c r="AR955" s="109"/>
      <c r="AS955" s="109"/>
      <c r="AT955" s="109"/>
      <c r="AU955" s="109"/>
      <c r="AV955" s="109"/>
      <c r="AW955" s="109"/>
      <c r="AX955" s="109"/>
      <c r="AY955" s="109"/>
      <c r="AZ955" s="109"/>
    </row>
    <row r="956" spans="20:52" x14ac:dyDescent="0.65">
      <c r="T956" s="109"/>
      <c r="U956" s="109"/>
      <c r="V956" s="109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  <c r="AH956" s="109"/>
      <c r="AI956" s="109"/>
      <c r="AJ956" s="109"/>
      <c r="AK956" s="109"/>
      <c r="AL956" s="109"/>
      <c r="AM956" s="109"/>
      <c r="AN956" s="109"/>
      <c r="AO956" s="109"/>
      <c r="AP956" s="109"/>
      <c r="AQ956" s="109"/>
      <c r="AR956" s="109"/>
      <c r="AS956" s="109"/>
      <c r="AT956" s="109"/>
      <c r="AU956" s="109"/>
      <c r="AV956" s="109"/>
      <c r="AW956" s="109"/>
      <c r="AX956" s="109"/>
      <c r="AY956" s="109"/>
      <c r="AZ956" s="109"/>
    </row>
    <row r="957" spans="20:52" x14ac:dyDescent="0.65">
      <c r="T957" s="109"/>
      <c r="U957" s="109"/>
      <c r="V957" s="109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09"/>
      <c r="AM957" s="109"/>
      <c r="AN957" s="109"/>
      <c r="AO957" s="109"/>
      <c r="AP957" s="109"/>
      <c r="AQ957" s="109"/>
      <c r="AR957" s="109"/>
      <c r="AS957" s="109"/>
      <c r="AT957" s="109"/>
      <c r="AU957" s="109"/>
      <c r="AV957" s="109"/>
      <c r="AW957" s="109"/>
      <c r="AX957" s="109"/>
      <c r="AY957" s="109"/>
      <c r="AZ957" s="109"/>
    </row>
    <row r="958" spans="20:52" x14ac:dyDescent="0.65">
      <c r="T958" s="109"/>
      <c r="U958" s="109"/>
      <c r="V958" s="109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  <c r="AH958" s="109"/>
      <c r="AI958" s="109"/>
      <c r="AJ958" s="109"/>
      <c r="AK958" s="109"/>
      <c r="AL958" s="109"/>
      <c r="AM958" s="109"/>
      <c r="AN958" s="109"/>
      <c r="AO958" s="109"/>
      <c r="AP958" s="109"/>
      <c r="AQ958" s="109"/>
      <c r="AR958" s="109"/>
      <c r="AS958" s="109"/>
      <c r="AT958" s="109"/>
      <c r="AU958" s="109"/>
      <c r="AV958" s="109"/>
      <c r="AW958" s="109"/>
      <c r="AX958" s="109"/>
      <c r="AY958" s="109"/>
      <c r="AZ958" s="109"/>
    </row>
    <row r="959" spans="20:52" x14ac:dyDescent="0.65">
      <c r="T959" s="109"/>
      <c r="U959" s="109"/>
      <c r="V959" s="109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  <c r="AH959" s="109"/>
      <c r="AI959" s="109"/>
      <c r="AJ959" s="109"/>
      <c r="AK959" s="109"/>
      <c r="AL959" s="109"/>
      <c r="AM959" s="109"/>
      <c r="AN959" s="109"/>
      <c r="AO959" s="109"/>
      <c r="AP959" s="109"/>
      <c r="AQ959" s="109"/>
      <c r="AR959" s="109"/>
      <c r="AS959" s="109"/>
      <c r="AT959" s="109"/>
      <c r="AU959" s="109"/>
      <c r="AV959" s="109"/>
      <c r="AW959" s="109"/>
      <c r="AX959" s="109"/>
      <c r="AY959" s="109"/>
      <c r="AZ959" s="109"/>
    </row>
    <row r="960" spans="20:52" x14ac:dyDescent="0.65">
      <c r="T960" s="109"/>
      <c r="U960" s="109"/>
      <c r="V960" s="109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  <c r="AH960" s="109"/>
      <c r="AI960" s="109"/>
      <c r="AJ960" s="109"/>
      <c r="AK960" s="109"/>
      <c r="AL960" s="109"/>
      <c r="AM960" s="109"/>
      <c r="AN960" s="109"/>
      <c r="AO960" s="109"/>
      <c r="AP960" s="109"/>
      <c r="AQ960" s="109"/>
      <c r="AR960" s="109"/>
      <c r="AS960" s="109"/>
      <c r="AT960" s="109"/>
      <c r="AU960" s="109"/>
      <c r="AV960" s="109"/>
      <c r="AW960" s="109"/>
      <c r="AX960" s="109"/>
      <c r="AY960" s="109"/>
      <c r="AZ960" s="109"/>
    </row>
    <row r="961" spans="20:52" x14ac:dyDescent="0.65">
      <c r="T961" s="109"/>
      <c r="U961" s="109"/>
      <c r="V961" s="109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  <c r="AH961" s="109"/>
      <c r="AI961" s="109"/>
      <c r="AJ961" s="109"/>
      <c r="AK961" s="109"/>
      <c r="AL961" s="109"/>
      <c r="AM961" s="109"/>
      <c r="AN961" s="109"/>
      <c r="AO961" s="109"/>
      <c r="AP961" s="109"/>
      <c r="AQ961" s="109"/>
      <c r="AR961" s="109"/>
      <c r="AS961" s="109"/>
      <c r="AT961" s="109"/>
      <c r="AU961" s="109"/>
      <c r="AV961" s="109"/>
      <c r="AW961" s="109"/>
      <c r="AX961" s="109"/>
      <c r="AY961" s="109"/>
      <c r="AZ961" s="109"/>
    </row>
    <row r="962" spans="20:52" x14ac:dyDescent="0.65">
      <c r="T962" s="109"/>
      <c r="U962" s="109"/>
      <c r="V962" s="109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  <c r="AH962" s="109"/>
      <c r="AI962" s="109"/>
      <c r="AJ962" s="109"/>
      <c r="AK962" s="109"/>
      <c r="AL962" s="109"/>
      <c r="AM962" s="109"/>
      <c r="AN962" s="109"/>
      <c r="AO962" s="109"/>
      <c r="AP962" s="109"/>
      <c r="AQ962" s="109"/>
      <c r="AR962" s="109"/>
      <c r="AS962" s="109"/>
      <c r="AT962" s="109"/>
      <c r="AU962" s="109"/>
      <c r="AV962" s="109"/>
      <c r="AW962" s="109"/>
      <c r="AX962" s="109"/>
      <c r="AY962" s="109"/>
      <c r="AZ962" s="109"/>
    </row>
    <row r="963" spans="20:52" x14ac:dyDescent="0.65">
      <c r="T963" s="109"/>
      <c r="U963" s="109"/>
      <c r="V963" s="109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  <c r="AH963" s="109"/>
      <c r="AI963" s="109"/>
      <c r="AJ963" s="109"/>
      <c r="AK963" s="109"/>
      <c r="AL963" s="109"/>
      <c r="AM963" s="109"/>
      <c r="AN963" s="109"/>
      <c r="AO963" s="109"/>
      <c r="AP963" s="109"/>
      <c r="AQ963" s="109"/>
      <c r="AR963" s="109"/>
      <c r="AS963" s="109"/>
      <c r="AT963" s="109"/>
      <c r="AU963" s="109"/>
      <c r="AV963" s="109"/>
      <c r="AW963" s="109"/>
      <c r="AX963" s="109"/>
      <c r="AY963" s="109"/>
      <c r="AZ963" s="109"/>
    </row>
    <row r="964" spans="20:52" x14ac:dyDescent="0.65">
      <c r="T964" s="109"/>
      <c r="U964" s="109"/>
      <c r="V964" s="109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  <c r="AH964" s="109"/>
      <c r="AI964" s="109"/>
      <c r="AJ964" s="109"/>
      <c r="AK964" s="109"/>
      <c r="AL964" s="109"/>
      <c r="AM964" s="109"/>
      <c r="AN964" s="109"/>
      <c r="AO964" s="109"/>
      <c r="AP964" s="109"/>
      <c r="AQ964" s="109"/>
      <c r="AR964" s="109"/>
      <c r="AS964" s="109"/>
      <c r="AT964" s="109"/>
      <c r="AU964" s="109"/>
      <c r="AV964" s="109"/>
      <c r="AW964" s="109"/>
      <c r="AX964" s="109"/>
      <c r="AY964" s="109"/>
      <c r="AZ964" s="109"/>
    </row>
    <row r="965" spans="20:52" x14ac:dyDescent="0.65">
      <c r="T965" s="109"/>
      <c r="U965" s="109"/>
      <c r="V965" s="109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  <c r="AH965" s="109"/>
      <c r="AI965" s="109"/>
      <c r="AJ965" s="109"/>
      <c r="AK965" s="109"/>
      <c r="AL965" s="109"/>
      <c r="AM965" s="109"/>
      <c r="AN965" s="109"/>
      <c r="AO965" s="109"/>
      <c r="AP965" s="109"/>
      <c r="AQ965" s="109"/>
      <c r="AR965" s="109"/>
      <c r="AS965" s="109"/>
      <c r="AT965" s="109"/>
      <c r="AU965" s="109"/>
      <c r="AV965" s="109"/>
      <c r="AW965" s="109"/>
      <c r="AX965" s="109"/>
      <c r="AY965" s="109"/>
      <c r="AZ965" s="109"/>
    </row>
    <row r="966" spans="20:52" x14ac:dyDescent="0.65">
      <c r="T966" s="109"/>
      <c r="U966" s="109"/>
      <c r="V966" s="109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  <c r="AH966" s="109"/>
      <c r="AI966" s="109"/>
      <c r="AJ966" s="109"/>
      <c r="AK966" s="109"/>
      <c r="AL966" s="109"/>
      <c r="AM966" s="109"/>
      <c r="AN966" s="109"/>
      <c r="AO966" s="109"/>
      <c r="AP966" s="109"/>
      <c r="AQ966" s="109"/>
      <c r="AR966" s="109"/>
      <c r="AS966" s="109"/>
      <c r="AT966" s="109"/>
      <c r="AU966" s="109"/>
      <c r="AV966" s="109"/>
      <c r="AW966" s="109"/>
      <c r="AX966" s="109"/>
      <c r="AY966" s="109"/>
      <c r="AZ966" s="109"/>
    </row>
    <row r="967" spans="20:52" x14ac:dyDescent="0.65">
      <c r="T967" s="109"/>
      <c r="U967" s="109"/>
      <c r="V967" s="109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  <c r="AH967" s="109"/>
      <c r="AI967" s="109"/>
      <c r="AJ967" s="109"/>
      <c r="AK967" s="109"/>
      <c r="AL967" s="109"/>
      <c r="AM967" s="109"/>
      <c r="AN967" s="109"/>
      <c r="AO967" s="109"/>
      <c r="AP967" s="109"/>
      <c r="AQ967" s="109"/>
      <c r="AR967" s="109"/>
      <c r="AS967" s="109"/>
      <c r="AT967" s="109"/>
      <c r="AU967" s="109"/>
      <c r="AV967" s="109"/>
      <c r="AW967" s="109"/>
      <c r="AX967" s="109"/>
      <c r="AY967" s="109"/>
      <c r="AZ967" s="109"/>
    </row>
    <row r="968" spans="20:52" x14ac:dyDescent="0.65">
      <c r="T968" s="109"/>
      <c r="U968" s="109"/>
      <c r="V968" s="109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  <c r="AH968" s="109"/>
      <c r="AI968" s="109"/>
      <c r="AJ968" s="109"/>
      <c r="AK968" s="109"/>
      <c r="AL968" s="109"/>
      <c r="AM968" s="109"/>
      <c r="AN968" s="109"/>
      <c r="AO968" s="109"/>
      <c r="AP968" s="109"/>
      <c r="AQ968" s="109"/>
      <c r="AR968" s="109"/>
      <c r="AS968" s="109"/>
      <c r="AT968" s="109"/>
      <c r="AU968" s="109"/>
      <c r="AV968" s="109"/>
      <c r="AW968" s="109"/>
      <c r="AX968" s="109"/>
      <c r="AY968" s="109"/>
      <c r="AZ968" s="109"/>
    </row>
    <row r="969" spans="20:52" x14ac:dyDescent="0.65">
      <c r="T969" s="109"/>
      <c r="U969" s="109"/>
      <c r="V969" s="109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  <c r="AH969" s="109"/>
      <c r="AI969" s="109"/>
      <c r="AJ969" s="109"/>
      <c r="AK969" s="109"/>
      <c r="AL969" s="109"/>
      <c r="AM969" s="109"/>
      <c r="AN969" s="109"/>
      <c r="AO969" s="109"/>
      <c r="AP969" s="109"/>
      <c r="AQ969" s="109"/>
      <c r="AR969" s="109"/>
      <c r="AS969" s="109"/>
      <c r="AT969" s="109"/>
      <c r="AU969" s="109"/>
      <c r="AV969" s="109"/>
      <c r="AW969" s="109"/>
      <c r="AX969" s="109"/>
      <c r="AY969" s="109"/>
      <c r="AZ969" s="109"/>
    </row>
    <row r="970" spans="20:52" x14ac:dyDescent="0.65">
      <c r="T970" s="109"/>
      <c r="U970" s="109"/>
      <c r="V970" s="109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  <c r="AH970" s="109"/>
      <c r="AI970" s="109"/>
      <c r="AJ970" s="109"/>
      <c r="AK970" s="109"/>
      <c r="AL970" s="109"/>
      <c r="AM970" s="109"/>
      <c r="AN970" s="109"/>
      <c r="AO970" s="109"/>
      <c r="AP970" s="109"/>
      <c r="AQ970" s="109"/>
      <c r="AR970" s="109"/>
      <c r="AS970" s="109"/>
      <c r="AT970" s="109"/>
      <c r="AU970" s="109"/>
      <c r="AV970" s="109"/>
      <c r="AW970" s="109"/>
      <c r="AX970" s="109"/>
      <c r="AY970" s="109"/>
      <c r="AZ970" s="109"/>
    </row>
    <row r="971" spans="20:52" x14ac:dyDescent="0.65">
      <c r="T971" s="109"/>
      <c r="U971" s="109"/>
      <c r="V971" s="109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  <c r="AH971" s="109"/>
      <c r="AI971" s="109"/>
      <c r="AJ971" s="109"/>
      <c r="AK971" s="109"/>
      <c r="AL971" s="109"/>
      <c r="AM971" s="109"/>
      <c r="AN971" s="109"/>
      <c r="AO971" s="109"/>
      <c r="AP971" s="109"/>
      <c r="AQ971" s="109"/>
      <c r="AR971" s="109"/>
      <c r="AS971" s="109"/>
      <c r="AT971" s="109"/>
      <c r="AU971" s="109"/>
      <c r="AV971" s="109"/>
      <c r="AW971" s="109"/>
      <c r="AX971" s="109"/>
      <c r="AY971" s="109"/>
      <c r="AZ971" s="109"/>
    </row>
    <row r="972" spans="20:52" x14ac:dyDescent="0.65">
      <c r="T972" s="109"/>
      <c r="U972" s="109"/>
      <c r="V972" s="109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  <c r="AH972" s="109"/>
      <c r="AI972" s="109"/>
      <c r="AJ972" s="109"/>
      <c r="AK972" s="109"/>
      <c r="AL972" s="109"/>
      <c r="AM972" s="109"/>
      <c r="AN972" s="109"/>
      <c r="AO972" s="109"/>
      <c r="AP972" s="109"/>
      <c r="AQ972" s="109"/>
      <c r="AR972" s="109"/>
      <c r="AS972" s="109"/>
      <c r="AT972" s="109"/>
      <c r="AU972" s="109"/>
      <c r="AV972" s="109"/>
      <c r="AW972" s="109"/>
      <c r="AX972" s="109"/>
      <c r="AY972" s="109"/>
      <c r="AZ972" s="109"/>
    </row>
    <row r="973" spans="20:52" x14ac:dyDescent="0.65">
      <c r="T973" s="109"/>
      <c r="U973" s="109"/>
      <c r="V973" s="109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  <c r="AH973" s="109"/>
      <c r="AI973" s="109"/>
      <c r="AJ973" s="109"/>
      <c r="AK973" s="109"/>
      <c r="AL973" s="109"/>
      <c r="AM973" s="109"/>
      <c r="AN973" s="109"/>
      <c r="AO973" s="109"/>
      <c r="AP973" s="109"/>
      <c r="AQ973" s="109"/>
      <c r="AR973" s="109"/>
      <c r="AS973" s="109"/>
      <c r="AT973" s="109"/>
      <c r="AU973" s="109"/>
      <c r="AV973" s="109"/>
      <c r="AW973" s="109"/>
      <c r="AX973" s="109"/>
      <c r="AY973" s="109"/>
      <c r="AZ973" s="109"/>
    </row>
    <row r="974" spans="20:52" x14ac:dyDescent="0.65">
      <c r="T974" s="109"/>
      <c r="U974" s="109"/>
      <c r="V974" s="109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  <c r="AH974" s="109"/>
      <c r="AI974" s="109"/>
      <c r="AJ974" s="109"/>
      <c r="AK974" s="109"/>
      <c r="AL974" s="109"/>
      <c r="AM974" s="109"/>
      <c r="AN974" s="109"/>
      <c r="AO974" s="109"/>
      <c r="AP974" s="109"/>
      <c r="AQ974" s="109"/>
      <c r="AR974" s="109"/>
      <c r="AS974" s="109"/>
      <c r="AT974" s="109"/>
      <c r="AU974" s="109"/>
      <c r="AV974" s="109"/>
      <c r="AW974" s="109"/>
      <c r="AX974" s="109"/>
      <c r="AY974" s="109"/>
      <c r="AZ974" s="109"/>
    </row>
    <row r="975" spans="20:52" x14ac:dyDescent="0.65">
      <c r="T975" s="109"/>
      <c r="U975" s="109"/>
      <c r="V975" s="109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  <c r="AH975" s="109"/>
      <c r="AI975" s="109"/>
      <c r="AJ975" s="109"/>
      <c r="AK975" s="109"/>
      <c r="AL975" s="109"/>
      <c r="AM975" s="109"/>
      <c r="AN975" s="109"/>
      <c r="AO975" s="109"/>
      <c r="AP975" s="109"/>
      <c r="AQ975" s="109"/>
      <c r="AR975" s="109"/>
      <c r="AS975" s="109"/>
      <c r="AT975" s="109"/>
      <c r="AU975" s="109"/>
      <c r="AV975" s="109"/>
      <c r="AW975" s="109"/>
      <c r="AX975" s="109"/>
      <c r="AY975" s="109"/>
      <c r="AZ975" s="109"/>
    </row>
    <row r="976" spans="20:52" x14ac:dyDescent="0.65">
      <c r="T976" s="109"/>
      <c r="U976" s="109"/>
      <c r="V976" s="109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  <c r="AH976" s="109"/>
      <c r="AI976" s="109"/>
      <c r="AJ976" s="109"/>
      <c r="AK976" s="109"/>
      <c r="AL976" s="109"/>
      <c r="AM976" s="109"/>
      <c r="AN976" s="109"/>
      <c r="AO976" s="109"/>
      <c r="AP976" s="109"/>
      <c r="AQ976" s="109"/>
      <c r="AR976" s="109"/>
      <c r="AS976" s="109"/>
      <c r="AT976" s="109"/>
      <c r="AU976" s="109"/>
      <c r="AV976" s="109"/>
      <c r="AW976" s="109"/>
      <c r="AX976" s="109"/>
      <c r="AY976" s="109"/>
      <c r="AZ976" s="109"/>
    </row>
    <row r="977" spans="20:52" x14ac:dyDescent="0.65">
      <c r="T977" s="109"/>
      <c r="U977" s="109"/>
      <c r="V977" s="109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  <c r="AH977" s="109"/>
      <c r="AI977" s="109"/>
      <c r="AJ977" s="109"/>
      <c r="AK977" s="109"/>
      <c r="AL977" s="109"/>
      <c r="AM977" s="109"/>
      <c r="AN977" s="109"/>
      <c r="AO977" s="109"/>
      <c r="AP977" s="109"/>
      <c r="AQ977" s="109"/>
      <c r="AR977" s="109"/>
      <c r="AS977" s="109"/>
      <c r="AT977" s="109"/>
      <c r="AU977" s="109"/>
      <c r="AV977" s="109"/>
      <c r="AW977" s="109"/>
      <c r="AX977" s="109"/>
      <c r="AY977" s="109"/>
      <c r="AZ977" s="109"/>
    </row>
    <row r="978" spans="20:52" x14ac:dyDescent="0.65">
      <c r="T978" s="109"/>
      <c r="U978" s="109"/>
      <c r="V978" s="109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  <c r="AH978" s="109"/>
      <c r="AI978" s="109"/>
      <c r="AJ978" s="109"/>
      <c r="AK978" s="109"/>
      <c r="AL978" s="109"/>
      <c r="AM978" s="109"/>
      <c r="AN978" s="109"/>
      <c r="AO978" s="109"/>
      <c r="AP978" s="109"/>
      <c r="AQ978" s="109"/>
      <c r="AR978" s="109"/>
      <c r="AS978" s="109"/>
      <c r="AT978" s="109"/>
      <c r="AU978" s="109"/>
      <c r="AV978" s="109"/>
      <c r="AW978" s="109"/>
      <c r="AX978" s="109"/>
      <c r="AY978" s="109"/>
      <c r="AZ978" s="109"/>
    </row>
    <row r="979" spans="20:52" x14ac:dyDescent="0.65">
      <c r="T979" s="109"/>
      <c r="U979" s="109"/>
      <c r="V979" s="109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09"/>
      <c r="AM979" s="109"/>
      <c r="AN979" s="109"/>
      <c r="AO979" s="109"/>
      <c r="AP979" s="109"/>
      <c r="AQ979" s="109"/>
      <c r="AR979" s="109"/>
      <c r="AS979" s="109"/>
      <c r="AT979" s="109"/>
      <c r="AU979" s="109"/>
      <c r="AV979" s="109"/>
      <c r="AW979" s="109"/>
      <c r="AX979" s="109"/>
      <c r="AY979" s="109"/>
      <c r="AZ979" s="109"/>
    </row>
    <row r="980" spans="20:52" x14ac:dyDescent="0.65">
      <c r="T980" s="109"/>
      <c r="U980" s="109"/>
      <c r="V980" s="109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  <c r="AH980" s="109"/>
      <c r="AI980" s="109"/>
      <c r="AJ980" s="109"/>
      <c r="AK980" s="109"/>
      <c r="AL980" s="109"/>
      <c r="AM980" s="109"/>
      <c r="AN980" s="109"/>
      <c r="AO980" s="109"/>
      <c r="AP980" s="109"/>
      <c r="AQ980" s="109"/>
      <c r="AR980" s="109"/>
      <c r="AS980" s="109"/>
      <c r="AT980" s="109"/>
      <c r="AU980" s="109"/>
      <c r="AV980" s="109"/>
      <c r="AW980" s="109"/>
      <c r="AX980" s="109"/>
      <c r="AY980" s="109"/>
      <c r="AZ980" s="109"/>
    </row>
    <row r="981" spans="20:52" x14ac:dyDescent="0.65">
      <c r="T981" s="109"/>
      <c r="U981" s="109"/>
      <c r="V981" s="109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  <c r="AH981" s="109"/>
      <c r="AI981" s="109"/>
      <c r="AJ981" s="109"/>
      <c r="AK981" s="109"/>
      <c r="AL981" s="109"/>
      <c r="AM981" s="109"/>
      <c r="AN981" s="109"/>
      <c r="AO981" s="109"/>
      <c r="AP981" s="109"/>
      <c r="AQ981" s="109"/>
      <c r="AR981" s="109"/>
      <c r="AS981" s="109"/>
      <c r="AT981" s="109"/>
      <c r="AU981" s="109"/>
      <c r="AV981" s="109"/>
      <c r="AW981" s="109"/>
      <c r="AX981" s="109"/>
      <c r="AY981" s="109"/>
      <c r="AZ981" s="109"/>
    </row>
    <row r="982" spans="20:52" x14ac:dyDescent="0.65">
      <c r="T982" s="109"/>
      <c r="U982" s="109"/>
      <c r="V982" s="109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  <c r="AH982" s="109"/>
      <c r="AI982" s="109"/>
      <c r="AJ982" s="109"/>
      <c r="AK982" s="109"/>
      <c r="AL982" s="109"/>
      <c r="AM982" s="109"/>
      <c r="AN982" s="109"/>
      <c r="AO982" s="109"/>
      <c r="AP982" s="109"/>
      <c r="AQ982" s="109"/>
      <c r="AR982" s="109"/>
      <c r="AS982" s="109"/>
      <c r="AT982" s="109"/>
      <c r="AU982" s="109"/>
      <c r="AV982" s="109"/>
      <c r="AW982" s="109"/>
      <c r="AX982" s="109"/>
      <c r="AY982" s="109"/>
      <c r="AZ982" s="109"/>
    </row>
    <row r="983" spans="20:52" x14ac:dyDescent="0.65">
      <c r="T983" s="109"/>
      <c r="U983" s="109"/>
      <c r="V983" s="109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  <c r="AH983" s="109"/>
      <c r="AI983" s="109"/>
      <c r="AJ983" s="109"/>
      <c r="AK983" s="109"/>
      <c r="AL983" s="109"/>
      <c r="AM983" s="109"/>
      <c r="AN983" s="109"/>
      <c r="AO983" s="109"/>
      <c r="AP983" s="109"/>
      <c r="AQ983" s="109"/>
      <c r="AR983" s="109"/>
      <c r="AS983" s="109"/>
      <c r="AT983" s="109"/>
      <c r="AU983" s="109"/>
      <c r="AV983" s="109"/>
      <c r="AW983" s="109"/>
      <c r="AX983" s="109"/>
      <c r="AY983" s="109"/>
      <c r="AZ983" s="109"/>
    </row>
    <row r="984" spans="20:52" x14ac:dyDescent="0.65">
      <c r="T984" s="109"/>
      <c r="U984" s="109"/>
      <c r="V984" s="109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  <c r="AH984" s="109"/>
      <c r="AI984" s="109"/>
      <c r="AJ984" s="109"/>
      <c r="AK984" s="109"/>
      <c r="AL984" s="109"/>
      <c r="AM984" s="109"/>
      <c r="AN984" s="109"/>
      <c r="AO984" s="109"/>
      <c r="AP984" s="109"/>
      <c r="AQ984" s="109"/>
      <c r="AR984" s="109"/>
      <c r="AS984" s="109"/>
      <c r="AT984" s="109"/>
      <c r="AU984" s="109"/>
      <c r="AV984" s="109"/>
      <c r="AW984" s="109"/>
      <c r="AX984" s="109"/>
      <c r="AY984" s="109"/>
      <c r="AZ984" s="109"/>
    </row>
    <row r="985" spans="20:52" x14ac:dyDescent="0.65">
      <c r="T985" s="109"/>
      <c r="U985" s="109"/>
      <c r="V985" s="109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  <c r="AH985" s="109"/>
      <c r="AI985" s="109"/>
      <c r="AJ985" s="109"/>
      <c r="AK985" s="109"/>
      <c r="AL985" s="109"/>
      <c r="AM985" s="109"/>
      <c r="AN985" s="109"/>
      <c r="AO985" s="109"/>
      <c r="AP985" s="109"/>
      <c r="AQ985" s="109"/>
      <c r="AR985" s="109"/>
      <c r="AS985" s="109"/>
      <c r="AT985" s="109"/>
      <c r="AU985" s="109"/>
      <c r="AV985" s="109"/>
      <c r="AW985" s="109"/>
      <c r="AX985" s="109"/>
      <c r="AY985" s="109"/>
      <c r="AZ985" s="109"/>
    </row>
    <row r="986" spans="20:52" x14ac:dyDescent="0.65">
      <c r="T986" s="109"/>
      <c r="U986" s="109"/>
      <c r="V986" s="109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  <c r="AH986" s="109"/>
      <c r="AI986" s="109"/>
      <c r="AJ986" s="109"/>
      <c r="AK986" s="109"/>
      <c r="AL986" s="109"/>
      <c r="AM986" s="109"/>
      <c r="AN986" s="109"/>
      <c r="AO986" s="109"/>
      <c r="AP986" s="109"/>
      <c r="AQ986" s="109"/>
      <c r="AR986" s="109"/>
      <c r="AS986" s="109"/>
      <c r="AT986" s="109"/>
      <c r="AU986" s="109"/>
      <c r="AV986" s="109"/>
      <c r="AW986" s="109"/>
      <c r="AX986" s="109"/>
      <c r="AY986" s="109"/>
      <c r="AZ986" s="109"/>
    </row>
    <row r="987" spans="20:52" x14ac:dyDescent="0.65">
      <c r="T987" s="109"/>
      <c r="U987" s="109"/>
      <c r="V987" s="109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  <c r="AH987" s="109"/>
      <c r="AI987" s="109"/>
      <c r="AJ987" s="109"/>
      <c r="AK987" s="109"/>
      <c r="AL987" s="109"/>
      <c r="AM987" s="109"/>
      <c r="AN987" s="109"/>
      <c r="AO987" s="109"/>
      <c r="AP987" s="109"/>
      <c r="AQ987" s="109"/>
      <c r="AR987" s="109"/>
      <c r="AS987" s="109"/>
      <c r="AT987" s="109"/>
      <c r="AU987" s="109"/>
      <c r="AV987" s="109"/>
      <c r="AW987" s="109"/>
      <c r="AX987" s="109"/>
      <c r="AY987" s="109"/>
      <c r="AZ987" s="109"/>
    </row>
    <row r="988" spans="20:52" x14ac:dyDescent="0.65">
      <c r="T988" s="109"/>
      <c r="U988" s="109"/>
      <c r="V988" s="109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  <c r="AH988" s="109"/>
      <c r="AI988" s="109"/>
      <c r="AJ988" s="109"/>
      <c r="AK988" s="109"/>
      <c r="AL988" s="109"/>
      <c r="AM988" s="109"/>
      <c r="AN988" s="109"/>
      <c r="AO988" s="109"/>
      <c r="AP988" s="109"/>
      <c r="AQ988" s="109"/>
      <c r="AR988" s="109"/>
      <c r="AS988" s="109"/>
      <c r="AT988" s="109"/>
      <c r="AU988" s="109"/>
      <c r="AV988" s="109"/>
      <c r="AW988" s="109"/>
      <c r="AX988" s="109"/>
      <c r="AY988" s="109"/>
      <c r="AZ988" s="109"/>
    </row>
    <row r="989" spans="20:52" x14ac:dyDescent="0.65">
      <c r="T989" s="109"/>
      <c r="U989" s="109"/>
      <c r="V989" s="109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  <c r="AH989" s="109"/>
      <c r="AI989" s="109"/>
      <c r="AJ989" s="109"/>
      <c r="AK989" s="109"/>
      <c r="AL989" s="109"/>
      <c r="AM989" s="109"/>
      <c r="AN989" s="109"/>
      <c r="AO989" s="109"/>
      <c r="AP989" s="109"/>
      <c r="AQ989" s="109"/>
      <c r="AR989" s="109"/>
      <c r="AS989" s="109"/>
      <c r="AT989" s="109"/>
      <c r="AU989" s="109"/>
      <c r="AV989" s="109"/>
      <c r="AW989" s="109"/>
      <c r="AX989" s="109"/>
      <c r="AY989" s="109"/>
      <c r="AZ989" s="109"/>
    </row>
    <row r="990" spans="20:52" x14ac:dyDescent="0.65">
      <c r="T990" s="109"/>
      <c r="U990" s="109"/>
      <c r="V990" s="109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09"/>
      <c r="AM990" s="109"/>
      <c r="AN990" s="109"/>
      <c r="AO990" s="109"/>
      <c r="AP990" s="109"/>
      <c r="AQ990" s="109"/>
      <c r="AR990" s="109"/>
      <c r="AS990" s="109"/>
      <c r="AT990" s="109"/>
      <c r="AU990" s="109"/>
      <c r="AV990" s="109"/>
      <c r="AW990" s="109"/>
      <c r="AX990" s="109"/>
      <c r="AY990" s="109"/>
      <c r="AZ990" s="109"/>
    </row>
    <row r="991" spans="20:52" x14ac:dyDescent="0.65">
      <c r="T991" s="109"/>
      <c r="U991" s="109"/>
      <c r="V991" s="109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09"/>
      <c r="AM991" s="109"/>
      <c r="AN991" s="109"/>
      <c r="AO991" s="109"/>
      <c r="AP991" s="109"/>
      <c r="AQ991" s="109"/>
      <c r="AR991" s="109"/>
      <c r="AS991" s="109"/>
      <c r="AT991" s="109"/>
      <c r="AU991" s="109"/>
      <c r="AV991" s="109"/>
      <c r="AW991" s="109"/>
      <c r="AX991" s="109"/>
      <c r="AY991" s="109"/>
      <c r="AZ991" s="109"/>
    </row>
    <row r="992" spans="20:52" x14ac:dyDescent="0.65">
      <c r="T992" s="109"/>
      <c r="U992" s="109"/>
      <c r="V992" s="109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09"/>
      <c r="AM992" s="109"/>
      <c r="AN992" s="109"/>
      <c r="AO992" s="109"/>
      <c r="AP992" s="109"/>
      <c r="AQ992" s="109"/>
      <c r="AR992" s="109"/>
      <c r="AS992" s="109"/>
      <c r="AT992" s="109"/>
      <c r="AU992" s="109"/>
      <c r="AV992" s="109"/>
      <c r="AW992" s="109"/>
      <c r="AX992" s="109"/>
      <c r="AY992" s="109"/>
      <c r="AZ992" s="109"/>
    </row>
    <row r="993" spans="20:52" x14ac:dyDescent="0.65">
      <c r="T993" s="109"/>
      <c r="U993" s="109"/>
      <c r="V993" s="109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109"/>
      <c r="AI993" s="109"/>
      <c r="AJ993" s="109"/>
      <c r="AK993" s="109"/>
      <c r="AL993" s="109"/>
      <c r="AM993" s="109"/>
      <c r="AN993" s="109"/>
      <c r="AO993" s="109"/>
      <c r="AP993" s="109"/>
      <c r="AQ993" s="109"/>
      <c r="AR993" s="109"/>
      <c r="AS993" s="109"/>
      <c r="AT993" s="109"/>
      <c r="AU993" s="109"/>
      <c r="AV993" s="109"/>
      <c r="AW993" s="109"/>
      <c r="AX993" s="109"/>
      <c r="AY993" s="109"/>
      <c r="AZ993" s="109"/>
    </row>
    <row r="994" spans="20:52" x14ac:dyDescent="0.65">
      <c r="T994" s="109"/>
      <c r="U994" s="109"/>
      <c r="V994" s="109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  <c r="AH994" s="109"/>
      <c r="AI994" s="109"/>
      <c r="AJ994" s="109"/>
      <c r="AK994" s="109"/>
      <c r="AL994" s="109"/>
      <c r="AM994" s="109"/>
      <c r="AN994" s="109"/>
      <c r="AO994" s="109"/>
      <c r="AP994" s="109"/>
      <c r="AQ994" s="109"/>
      <c r="AR994" s="109"/>
      <c r="AS994" s="109"/>
      <c r="AT994" s="109"/>
      <c r="AU994" s="109"/>
      <c r="AV994" s="109"/>
      <c r="AW994" s="109"/>
      <c r="AX994" s="109"/>
      <c r="AY994" s="109"/>
      <c r="AZ994" s="109"/>
    </row>
    <row r="995" spans="20:52" x14ac:dyDescent="0.65">
      <c r="T995" s="109"/>
      <c r="U995" s="109"/>
      <c r="V995" s="109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09"/>
      <c r="AM995" s="109"/>
      <c r="AN995" s="109"/>
      <c r="AO995" s="109"/>
      <c r="AP995" s="109"/>
      <c r="AQ995" s="109"/>
      <c r="AR995" s="109"/>
      <c r="AS995" s="109"/>
      <c r="AT995" s="109"/>
      <c r="AU995" s="109"/>
      <c r="AV995" s="109"/>
      <c r="AW995" s="109"/>
      <c r="AX995" s="109"/>
      <c r="AY995" s="109"/>
      <c r="AZ995" s="109"/>
    </row>
    <row r="996" spans="20:52" x14ac:dyDescent="0.65"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109"/>
      <c r="AM996" s="109"/>
      <c r="AN996" s="109"/>
      <c r="AO996" s="109"/>
      <c r="AP996" s="109"/>
      <c r="AQ996" s="109"/>
      <c r="AR996" s="109"/>
      <c r="AS996" s="109"/>
      <c r="AT996" s="109"/>
      <c r="AU996" s="109"/>
      <c r="AV996" s="109"/>
      <c r="AW996" s="109"/>
      <c r="AX996" s="109"/>
      <c r="AY996" s="109"/>
      <c r="AZ996" s="109"/>
    </row>
    <row r="997" spans="20:52" x14ac:dyDescent="0.65">
      <c r="T997" s="109"/>
      <c r="U997" s="109"/>
      <c r="V997" s="109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  <c r="AH997" s="109"/>
      <c r="AI997" s="109"/>
      <c r="AJ997" s="109"/>
      <c r="AK997" s="109"/>
      <c r="AL997" s="109"/>
      <c r="AM997" s="109"/>
      <c r="AN997" s="109"/>
      <c r="AO997" s="109"/>
      <c r="AP997" s="109"/>
      <c r="AQ997" s="109"/>
      <c r="AR997" s="109"/>
      <c r="AS997" s="109"/>
      <c r="AT997" s="109"/>
      <c r="AU997" s="109"/>
      <c r="AV997" s="109"/>
      <c r="AW997" s="109"/>
      <c r="AX997" s="109"/>
      <c r="AY997" s="109"/>
      <c r="AZ997" s="109"/>
    </row>
    <row r="998" spans="20:52" x14ac:dyDescent="0.65">
      <c r="T998" s="109"/>
      <c r="U998" s="109"/>
      <c r="V998" s="109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109"/>
      <c r="AM998" s="109"/>
      <c r="AN998" s="109"/>
      <c r="AO998" s="109"/>
      <c r="AP998" s="109"/>
      <c r="AQ998" s="109"/>
      <c r="AR998" s="109"/>
      <c r="AS998" s="109"/>
      <c r="AT998" s="109"/>
      <c r="AU998" s="109"/>
      <c r="AV998" s="109"/>
      <c r="AW998" s="109"/>
      <c r="AX998" s="109"/>
      <c r="AY998" s="109"/>
      <c r="AZ998" s="109"/>
    </row>
    <row r="999" spans="20:52" x14ac:dyDescent="0.65">
      <c r="T999" s="109"/>
      <c r="U999" s="109"/>
      <c r="V999" s="109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  <c r="AH999" s="109"/>
      <c r="AI999" s="109"/>
      <c r="AJ999" s="109"/>
      <c r="AK999" s="109"/>
      <c r="AL999" s="109"/>
      <c r="AM999" s="109"/>
      <c r="AN999" s="109"/>
      <c r="AO999" s="109"/>
      <c r="AP999" s="109"/>
      <c r="AQ999" s="109"/>
      <c r="AR999" s="109"/>
      <c r="AS999" s="109"/>
      <c r="AT999" s="109"/>
      <c r="AU999" s="109"/>
      <c r="AV999" s="109"/>
      <c r="AW999" s="109"/>
      <c r="AX999" s="109"/>
      <c r="AY999" s="109"/>
      <c r="AZ999" s="109"/>
    </row>
    <row r="1000" spans="20:52" x14ac:dyDescent="0.65">
      <c r="T1000" s="109"/>
      <c r="U1000" s="109"/>
      <c r="V1000" s="109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  <c r="AH1000" s="109"/>
      <c r="AI1000" s="109"/>
      <c r="AJ1000" s="109"/>
      <c r="AK1000" s="109"/>
      <c r="AL1000" s="109"/>
      <c r="AM1000" s="109"/>
      <c r="AN1000" s="109"/>
      <c r="AO1000" s="109"/>
      <c r="AP1000" s="109"/>
      <c r="AQ1000" s="109"/>
      <c r="AR1000" s="109"/>
      <c r="AS1000" s="109"/>
      <c r="AT1000" s="109"/>
      <c r="AU1000" s="109"/>
      <c r="AV1000" s="109"/>
      <c r="AW1000" s="109"/>
      <c r="AX1000" s="109"/>
      <c r="AY1000" s="109"/>
      <c r="AZ1000" s="109"/>
    </row>
    <row r="1001" spans="20:52" x14ac:dyDescent="0.65">
      <c r="T1001" s="109"/>
      <c r="U1001" s="109"/>
      <c r="V1001" s="109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09"/>
      <c r="AG1001" s="109"/>
      <c r="AH1001" s="109"/>
      <c r="AI1001" s="109"/>
      <c r="AJ1001" s="109"/>
      <c r="AK1001" s="109"/>
      <c r="AL1001" s="109"/>
      <c r="AM1001" s="109"/>
      <c r="AN1001" s="109"/>
      <c r="AO1001" s="109"/>
      <c r="AP1001" s="109"/>
      <c r="AQ1001" s="109"/>
      <c r="AR1001" s="109"/>
      <c r="AS1001" s="109"/>
      <c r="AT1001" s="109"/>
      <c r="AU1001" s="109"/>
      <c r="AV1001" s="109"/>
      <c r="AW1001" s="109"/>
      <c r="AX1001" s="109"/>
      <c r="AY1001" s="109"/>
      <c r="AZ1001" s="109"/>
    </row>
    <row r="1002" spans="20:52" x14ac:dyDescent="0.65">
      <c r="T1002" s="109"/>
      <c r="U1002" s="109"/>
      <c r="V1002" s="109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09"/>
      <c r="AG1002" s="109"/>
      <c r="AH1002" s="109"/>
      <c r="AI1002" s="109"/>
      <c r="AJ1002" s="109"/>
      <c r="AK1002" s="109"/>
      <c r="AL1002" s="109"/>
      <c r="AM1002" s="109"/>
      <c r="AN1002" s="109"/>
      <c r="AO1002" s="109"/>
      <c r="AP1002" s="109"/>
      <c r="AQ1002" s="109"/>
      <c r="AR1002" s="109"/>
      <c r="AS1002" s="109"/>
      <c r="AT1002" s="109"/>
      <c r="AU1002" s="109"/>
      <c r="AV1002" s="109"/>
      <c r="AW1002" s="109"/>
      <c r="AX1002" s="109"/>
      <c r="AY1002" s="109"/>
      <c r="AZ1002" s="109"/>
    </row>
    <row r="1003" spans="20:52" x14ac:dyDescent="0.65">
      <c r="T1003" s="109"/>
      <c r="U1003" s="109"/>
      <c r="V1003" s="109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09"/>
      <c r="AG1003" s="109"/>
      <c r="AH1003" s="109"/>
      <c r="AI1003" s="109"/>
      <c r="AJ1003" s="109"/>
      <c r="AK1003" s="109"/>
      <c r="AL1003" s="109"/>
      <c r="AM1003" s="109"/>
      <c r="AN1003" s="109"/>
      <c r="AO1003" s="109"/>
      <c r="AP1003" s="109"/>
      <c r="AQ1003" s="109"/>
      <c r="AR1003" s="109"/>
      <c r="AS1003" s="109"/>
      <c r="AT1003" s="109"/>
      <c r="AU1003" s="109"/>
      <c r="AV1003" s="109"/>
      <c r="AW1003" s="109"/>
      <c r="AX1003" s="109"/>
      <c r="AY1003" s="109"/>
      <c r="AZ1003" s="109"/>
    </row>
    <row r="1004" spans="20:52" x14ac:dyDescent="0.65">
      <c r="T1004" s="109"/>
      <c r="U1004" s="109"/>
      <c r="V1004" s="109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09"/>
      <c r="AG1004" s="109"/>
      <c r="AH1004" s="109"/>
      <c r="AI1004" s="109"/>
      <c r="AJ1004" s="109"/>
      <c r="AK1004" s="109"/>
      <c r="AL1004" s="109"/>
      <c r="AM1004" s="109"/>
      <c r="AN1004" s="109"/>
      <c r="AO1004" s="109"/>
      <c r="AP1004" s="109"/>
      <c r="AQ1004" s="109"/>
      <c r="AR1004" s="109"/>
      <c r="AS1004" s="109"/>
      <c r="AT1004" s="109"/>
      <c r="AU1004" s="109"/>
      <c r="AV1004" s="109"/>
      <c r="AW1004" s="109"/>
      <c r="AX1004" s="109"/>
      <c r="AY1004" s="109"/>
      <c r="AZ1004" s="109"/>
    </row>
    <row r="1005" spans="20:52" x14ac:dyDescent="0.65">
      <c r="T1005" s="109"/>
      <c r="U1005" s="109"/>
      <c r="V1005" s="109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09"/>
      <c r="AG1005" s="109"/>
      <c r="AH1005" s="109"/>
      <c r="AI1005" s="109"/>
      <c r="AJ1005" s="109"/>
      <c r="AK1005" s="109"/>
      <c r="AL1005" s="109"/>
      <c r="AM1005" s="109"/>
      <c r="AN1005" s="109"/>
      <c r="AO1005" s="109"/>
      <c r="AP1005" s="109"/>
      <c r="AQ1005" s="109"/>
      <c r="AR1005" s="109"/>
      <c r="AS1005" s="109"/>
      <c r="AT1005" s="109"/>
      <c r="AU1005" s="109"/>
      <c r="AV1005" s="109"/>
      <c r="AW1005" s="109"/>
      <c r="AX1005" s="109"/>
      <c r="AY1005" s="109"/>
      <c r="AZ1005" s="109"/>
    </row>
    <row r="1006" spans="20:52" x14ac:dyDescent="0.65">
      <c r="T1006" s="109"/>
      <c r="U1006" s="109"/>
      <c r="V1006" s="109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09"/>
      <c r="AG1006" s="109"/>
      <c r="AH1006" s="109"/>
      <c r="AI1006" s="109"/>
      <c r="AJ1006" s="109"/>
      <c r="AK1006" s="109"/>
      <c r="AL1006" s="109"/>
      <c r="AM1006" s="109"/>
      <c r="AN1006" s="109"/>
      <c r="AO1006" s="109"/>
      <c r="AP1006" s="109"/>
      <c r="AQ1006" s="109"/>
      <c r="AR1006" s="109"/>
      <c r="AS1006" s="109"/>
      <c r="AT1006" s="109"/>
      <c r="AU1006" s="109"/>
      <c r="AV1006" s="109"/>
      <c r="AW1006" s="109"/>
      <c r="AX1006" s="109"/>
      <c r="AY1006" s="109"/>
      <c r="AZ1006" s="109"/>
    </row>
    <row r="1007" spans="20:52" x14ac:dyDescent="0.65">
      <c r="T1007" s="109"/>
      <c r="U1007" s="109"/>
      <c r="V1007" s="109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09"/>
      <c r="AG1007" s="109"/>
      <c r="AH1007" s="109"/>
      <c r="AI1007" s="109"/>
      <c r="AJ1007" s="109"/>
      <c r="AK1007" s="109"/>
      <c r="AL1007" s="109"/>
      <c r="AM1007" s="109"/>
      <c r="AN1007" s="109"/>
      <c r="AO1007" s="109"/>
      <c r="AP1007" s="109"/>
      <c r="AQ1007" s="109"/>
      <c r="AR1007" s="109"/>
      <c r="AS1007" s="109"/>
      <c r="AT1007" s="109"/>
      <c r="AU1007" s="109"/>
      <c r="AV1007" s="109"/>
      <c r="AW1007" s="109"/>
      <c r="AX1007" s="109"/>
      <c r="AY1007" s="109"/>
      <c r="AZ1007" s="109"/>
    </row>
    <row r="1008" spans="20:52" x14ac:dyDescent="0.65">
      <c r="T1008" s="109"/>
      <c r="U1008" s="109"/>
      <c r="V1008" s="109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09"/>
      <c r="AG1008" s="109"/>
      <c r="AH1008" s="109"/>
      <c r="AI1008" s="109"/>
      <c r="AJ1008" s="109"/>
      <c r="AK1008" s="109"/>
      <c r="AL1008" s="109"/>
      <c r="AM1008" s="109"/>
      <c r="AN1008" s="109"/>
      <c r="AO1008" s="109"/>
      <c r="AP1008" s="109"/>
      <c r="AQ1008" s="109"/>
      <c r="AR1008" s="109"/>
      <c r="AS1008" s="109"/>
      <c r="AT1008" s="109"/>
      <c r="AU1008" s="109"/>
      <c r="AV1008" s="109"/>
      <c r="AW1008" s="109"/>
      <c r="AX1008" s="109"/>
      <c r="AY1008" s="109"/>
      <c r="AZ1008" s="109"/>
    </row>
    <row r="1009" spans="20:52" x14ac:dyDescent="0.65">
      <c r="T1009" s="109"/>
      <c r="U1009" s="109"/>
      <c r="V1009" s="109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09"/>
      <c r="AG1009" s="109"/>
      <c r="AH1009" s="109"/>
      <c r="AI1009" s="109"/>
      <c r="AJ1009" s="109"/>
      <c r="AK1009" s="109"/>
      <c r="AL1009" s="109"/>
      <c r="AM1009" s="109"/>
      <c r="AN1009" s="109"/>
      <c r="AO1009" s="109"/>
      <c r="AP1009" s="109"/>
      <c r="AQ1009" s="109"/>
      <c r="AR1009" s="109"/>
      <c r="AS1009" s="109"/>
      <c r="AT1009" s="109"/>
      <c r="AU1009" s="109"/>
      <c r="AV1009" s="109"/>
      <c r="AW1009" s="109"/>
      <c r="AX1009" s="109"/>
      <c r="AY1009" s="109"/>
      <c r="AZ1009" s="109"/>
    </row>
    <row r="1010" spans="20:52" x14ac:dyDescent="0.65">
      <c r="T1010" s="109"/>
      <c r="U1010" s="109"/>
      <c r="V1010" s="109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09"/>
      <c r="AG1010" s="109"/>
      <c r="AH1010" s="109"/>
      <c r="AI1010" s="109"/>
      <c r="AJ1010" s="109"/>
      <c r="AK1010" s="109"/>
      <c r="AL1010" s="109"/>
      <c r="AM1010" s="109"/>
      <c r="AN1010" s="109"/>
      <c r="AO1010" s="109"/>
      <c r="AP1010" s="109"/>
      <c r="AQ1010" s="109"/>
      <c r="AR1010" s="109"/>
      <c r="AS1010" s="109"/>
      <c r="AT1010" s="109"/>
      <c r="AU1010" s="109"/>
      <c r="AV1010" s="109"/>
      <c r="AW1010" s="109"/>
      <c r="AX1010" s="109"/>
      <c r="AY1010" s="109"/>
      <c r="AZ1010" s="109"/>
    </row>
    <row r="1011" spans="20:52" x14ac:dyDescent="0.65">
      <c r="T1011" s="109"/>
      <c r="U1011" s="109"/>
      <c r="V1011" s="109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09"/>
      <c r="AG1011" s="109"/>
      <c r="AH1011" s="109"/>
      <c r="AI1011" s="109"/>
      <c r="AJ1011" s="109"/>
      <c r="AK1011" s="109"/>
      <c r="AL1011" s="109"/>
      <c r="AM1011" s="109"/>
      <c r="AN1011" s="109"/>
      <c r="AO1011" s="109"/>
      <c r="AP1011" s="109"/>
      <c r="AQ1011" s="109"/>
      <c r="AR1011" s="109"/>
      <c r="AS1011" s="109"/>
      <c r="AT1011" s="109"/>
      <c r="AU1011" s="109"/>
      <c r="AV1011" s="109"/>
      <c r="AW1011" s="109"/>
      <c r="AX1011" s="109"/>
      <c r="AY1011" s="109"/>
      <c r="AZ1011" s="109"/>
    </row>
    <row r="1012" spans="20:52" x14ac:dyDescent="0.65">
      <c r="T1012" s="109"/>
      <c r="U1012" s="109"/>
      <c r="V1012" s="109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09"/>
      <c r="AG1012" s="109"/>
      <c r="AH1012" s="109"/>
      <c r="AI1012" s="109"/>
      <c r="AJ1012" s="109"/>
      <c r="AK1012" s="109"/>
      <c r="AL1012" s="109"/>
      <c r="AM1012" s="109"/>
      <c r="AN1012" s="109"/>
      <c r="AO1012" s="109"/>
      <c r="AP1012" s="109"/>
      <c r="AQ1012" s="109"/>
      <c r="AR1012" s="109"/>
      <c r="AS1012" s="109"/>
      <c r="AT1012" s="109"/>
      <c r="AU1012" s="109"/>
      <c r="AV1012" s="109"/>
      <c r="AW1012" s="109"/>
      <c r="AX1012" s="109"/>
      <c r="AY1012" s="109"/>
      <c r="AZ1012" s="109"/>
    </row>
    <row r="1013" spans="20:52" x14ac:dyDescent="0.65">
      <c r="T1013" s="109"/>
      <c r="U1013" s="109"/>
      <c r="V1013" s="109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09"/>
      <c r="AG1013" s="109"/>
      <c r="AH1013" s="109"/>
      <c r="AI1013" s="109"/>
      <c r="AJ1013" s="109"/>
      <c r="AK1013" s="109"/>
      <c r="AL1013" s="109"/>
      <c r="AM1013" s="109"/>
      <c r="AN1013" s="109"/>
      <c r="AO1013" s="109"/>
      <c r="AP1013" s="109"/>
      <c r="AQ1013" s="109"/>
      <c r="AR1013" s="109"/>
      <c r="AS1013" s="109"/>
      <c r="AT1013" s="109"/>
      <c r="AU1013" s="109"/>
      <c r="AV1013" s="109"/>
      <c r="AW1013" s="109"/>
      <c r="AX1013" s="109"/>
      <c r="AY1013" s="109"/>
      <c r="AZ1013" s="109"/>
    </row>
    <row r="1014" spans="20:52" x14ac:dyDescent="0.65">
      <c r="T1014" s="109"/>
      <c r="U1014" s="109"/>
      <c r="V1014" s="109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09"/>
      <c r="AG1014" s="109"/>
      <c r="AH1014" s="109"/>
      <c r="AI1014" s="109"/>
      <c r="AJ1014" s="109"/>
      <c r="AK1014" s="109"/>
      <c r="AL1014" s="109"/>
      <c r="AM1014" s="109"/>
      <c r="AN1014" s="109"/>
      <c r="AO1014" s="109"/>
      <c r="AP1014" s="109"/>
      <c r="AQ1014" s="109"/>
      <c r="AR1014" s="109"/>
      <c r="AS1014" s="109"/>
      <c r="AT1014" s="109"/>
      <c r="AU1014" s="109"/>
      <c r="AV1014" s="109"/>
      <c r="AW1014" s="109"/>
      <c r="AX1014" s="109"/>
      <c r="AY1014" s="109"/>
      <c r="AZ1014" s="109"/>
    </row>
    <row r="1015" spans="20:52" x14ac:dyDescent="0.65">
      <c r="T1015" s="109"/>
      <c r="U1015" s="109"/>
      <c r="V1015" s="109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09"/>
      <c r="AG1015" s="109"/>
      <c r="AH1015" s="109"/>
      <c r="AI1015" s="109"/>
      <c r="AJ1015" s="109"/>
      <c r="AK1015" s="109"/>
      <c r="AL1015" s="109"/>
      <c r="AM1015" s="109"/>
      <c r="AN1015" s="109"/>
      <c r="AO1015" s="109"/>
      <c r="AP1015" s="109"/>
      <c r="AQ1015" s="109"/>
      <c r="AR1015" s="109"/>
      <c r="AS1015" s="109"/>
      <c r="AT1015" s="109"/>
      <c r="AU1015" s="109"/>
      <c r="AV1015" s="109"/>
      <c r="AW1015" s="109"/>
      <c r="AX1015" s="109"/>
      <c r="AY1015" s="109"/>
      <c r="AZ1015" s="109"/>
    </row>
    <row r="1016" spans="20:52" x14ac:dyDescent="0.65">
      <c r="T1016" s="109"/>
      <c r="U1016" s="109"/>
      <c r="V1016" s="109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09"/>
      <c r="AG1016" s="109"/>
      <c r="AH1016" s="109"/>
      <c r="AI1016" s="109"/>
      <c r="AJ1016" s="109"/>
      <c r="AK1016" s="109"/>
      <c r="AL1016" s="109"/>
      <c r="AM1016" s="109"/>
      <c r="AN1016" s="109"/>
      <c r="AO1016" s="109"/>
      <c r="AP1016" s="109"/>
      <c r="AQ1016" s="109"/>
      <c r="AR1016" s="109"/>
      <c r="AS1016" s="109"/>
      <c r="AT1016" s="109"/>
      <c r="AU1016" s="109"/>
      <c r="AV1016" s="109"/>
      <c r="AW1016" s="109"/>
      <c r="AX1016" s="109"/>
      <c r="AY1016" s="109"/>
      <c r="AZ1016" s="109"/>
    </row>
    <row r="1017" spans="20:52" x14ac:dyDescent="0.65">
      <c r="T1017" s="109"/>
      <c r="U1017" s="109"/>
      <c r="V1017" s="109"/>
      <c r="W1017" s="109"/>
      <c r="X1017" s="109"/>
      <c r="Y1017" s="109"/>
      <c r="Z1017" s="109"/>
      <c r="AA1017" s="109"/>
      <c r="AB1017" s="109"/>
      <c r="AC1017" s="109"/>
      <c r="AD1017" s="109"/>
      <c r="AE1017" s="109"/>
      <c r="AF1017" s="109"/>
      <c r="AG1017" s="109"/>
      <c r="AH1017" s="109"/>
      <c r="AI1017" s="109"/>
      <c r="AJ1017" s="109"/>
      <c r="AK1017" s="109"/>
      <c r="AL1017" s="109"/>
      <c r="AM1017" s="109"/>
      <c r="AN1017" s="109"/>
      <c r="AO1017" s="109"/>
      <c r="AP1017" s="109"/>
      <c r="AQ1017" s="109"/>
      <c r="AR1017" s="109"/>
      <c r="AS1017" s="109"/>
      <c r="AT1017" s="109"/>
      <c r="AU1017" s="109"/>
      <c r="AV1017" s="109"/>
      <c r="AW1017" s="109"/>
      <c r="AX1017" s="109"/>
      <c r="AY1017" s="109"/>
      <c r="AZ1017" s="109"/>
    </row>
    <row r="1018" spans="20:52" x14ac:dyDescent="0.65">
      <c r="T1018" s="109"/>
      <c r="U1018" s="109"/>
      <c r="V1018" s="109"/>
      <c r="W1018" s="109"/>
      <c r="X1018" s="109"/>
      <c r="Y1018" s="109"/>
      <c r="Z1018" s="109"/>
      <c r="AA1018" s="109"/>
      <c r="AB1018" s="109"/>
      <c r="AC1018" s="109"/>
      <c r="AD1018" s="109"/>
      <c r="AE1018" s="109"/>
      <c r="AF1018" s="109"/>
      <c r="AG1018" s="109"/>
      <c r="AH1018" s="109"/>
      <c r="AI1018" s="109"/>
      <c r="AJ1018" s="109"/>
      <c r="AK1018" s="109"/>
      <c r="AL1018" s="109"/>
      <c r="AM1018" s="109"/>
      <c r="AN1018" s="109"/>
      <c r="AO1018" s="109"/>
      <c r="AP1018" s="109"/>
      <c r="AQ1018" s="109"/>
      <c r="AR1018" s="109"/>
      <c r="AS1018" s="109"/>
      <c r="AT1018" s="109"/>
      <c r="AU1018" s="109"/>
      <c r="AV1018" s="109"/>
      <c r="AW1018" s="109"/>
      <c r="AX1018" s="109"/>
      <c r="AY1018" s="109"/>
      <c r="AZ1018" s="109"/>
    </row>
    <row r="1019" spans="20:52" x14ac:dyDescent="0.65">
      <c r="T1019" s="109"/>
      <c r="U1019" s="109"/>
      <c r="V1019" s="109"/>
      <c r="W1019" s="109"/>
      <c r="X1019" s="109"/>
      <c r="Y1019" s="109"/>
      <c r="Z1019" s="109"/>
      <c r="AA1019" s="109"/>
      <c r="AB1019" s="109"/>
      <c r="AC1019" s="109"/>
      <c r="AD1019" s="109"/>
      <c r="AE1019" s="109"/>
      <c r="AF1019" s="109"/>
      <c r="AG1019" s="109"/>
      <c r="AH1019" s="109"/>
      <c r="AI1019" s="109"/>
      <c r="AJ1019" s="109"/>
      <c r="AK1019" s="109"/>
      <c r="AL1019" s="109"/>
      <c r="AM1019" s="109"/>
      <c r="AN1019" s="109"/>
      <c r="AO1019" s="109"/>
      <c r="AP1019" s="109"/>
      <c r="AQ1019" s="109"/>
      <c r="AR1019" s="109"/>
      <c r="AS1019" s="109"/>
      <c r="AT1019" s="109"/>
      <c r="AU1019" s="109"/>
      <c r="AV1019" s="109"/>
      <c r="AW1019" s="109"/>
      <c r="AX1019" s="109"/>
      <c r="AY1019" s="109"/>
      <c r="AZ1019" s="109"/>
    </row>
    <row r="1020" spans="20:52" x14ac:dyDescent="0.65">
      <c r="T1020" s="109"/>
      <c r="U1020" s="109"/>
      <c r="V1020" s="109"/>
      <c r="W1020" s="109"/>
      <c r="X1020" s="109"/>
      <c r="Y1020" s="109"/>
      <c r="Z1020" s="109"/>
      <c r="AA1020" s="109"/>
      <c r="AB1020" s="109"/>
      <c r="AC1020" s="109"/>
      <c r="AD1020" s="109"/>
      <c r="AE1020" s="109"/>
      <c r="AF1020" s="109"/>
      <c r="AG1020" s="109"/>
      <c r="AH1020" s="109"/>
      <c r="AI1020" s="109"/>
      <c r="AJ1020" s="109"/>
      <c r="AK1020" s="109"/>
      <c r="AL1020" s="109"/>
      <c r="AM1020" s="109"/>
      <c r="AN1020" s="109"/>
      <c r="AO1020" s="109"/>
      <c r="AP1020" s="109"/>
      <c r="AQ1020" s="109"/>
      <c r="AR1020" s="109"/>
      <c r="AS1020" s="109"/>
      <c r="AT1020" s="109"/>
      <c r="AU1020" s="109"/>
      <c r="AV1020" s="109"/>
      <c r="AW1020" s="109"/>
      <c r="AX1020" s="109"/>
      <c r="AY1020" s="109"/>
      <c r="AZ1020" s="109"/>
    </row>
    <row r="1021" spans="20:52" x14ac:dyDescent="0.65">
      <c r="T1021" s="109"/>
      <c r="U1021" s="109"/>
      <c r="V1021" s="109"/>
      <c r="W1021" s="109"/>
      <c r="X1021" s="109"/>
      <c r="Y1021" s="109"/>
      <c r="Z1021" s="109"/>
      <c r="AA1021" s="109"/>
      <c r="AB1021" s="109"/>
      <c r="AC1021" s="109"/>
      <c r="AD1021" s="109"/>
      <c r="AE1021" s="109"/>
      <c r="AF1021" s="109"/>
      <c r="AG1021" s="109"/>
      <c r="AH1021" s="109"/>
      <c r="AI1021" s="109"/>
      <c r="AJ1021" s="109"/>
      <c r="AK1021" s="109"/>
      <c r="AL1021" s="109"/>
      <c r="AM1021" s="109"/>
      <c r="AN1021" s="109"/>
      <c r="AO1021" s="109"/>
      <c r="AP1021" s="109"/>
      <c r="AQ1021" s="109"/>
      <c r="AR1021" s="109"/>
      <c r="AS1021" s="109"/>
      <c r="AT1021" s="109"/>
      <c r="AU1021" s="109"/>
      <c r="AV1021" s="109"/>
      <c r="AW1021" s="109"/>
      <c r="AX1021" s="109"/>
      <c r="AY1021" s="109"/>
      <c r="AZ1021" s="109"/>
    </row>
    <row r="1022" spans="20:52" x14ac:dyDescent="0.65">
      <c r="T1022" s="109"/>
      <c r="U1022" s="109"/>
      <c r="V1022" s="109"/>
      <c r="W1022" s="109"/>
      <c r="X1022" s="109"/>
      <c r="Y1022" s="109"/>
      <c r="Z1022" s="109"/>
      <c r="AA1022" s="109"/>
      <c r="AB1022" s="109"/>
      <c r="AC1022" s="109"/>
      <c r="AD1022" s="109"/>
      <c r="AE1022" s="109"/>
      <c r="AF1022" s="109"/>
      <c r="AG1022" s="109"/>
      <c r="AH1022" s="109"/>
      <c r="AI1022" s="109"/>
      <c r="AJ1022" s="109"/>
      <c r="AK1022" s="109"/>
      <c r="AL1022" s="109"/>
      <c r="AM1022" s="109"/>
      <c r="AN1022" s="109"/>
      <c r="AO1022" s="109"/>
      <c r="AP1022" s="109"/>
      <c r="AQ1022" s="109"/>
      <c r="AR1022" s="109"/>
      <c r="AS1022" s="109"/>
      <c r="AT1022" s="109"/>
      <c r="AU1022" s="109"/>
      <c r="AV1022" s="109"/>
      <c r="AW1022" s="109"/>
      <c r="AX1022" s="109"/>
      <c r="AY1022" s="109"/>
      <c r="AZ1022" s="109"/>
    </row>
    <row r="1023" spans="20:52" x14ac:dyDescent="0.65">
      <c r="T1023" s="109"/>
      <c r="U1023" s="109"/>
      <c r="V1023" s="109"/>
      <c r="W1023" s="109"/>
      <c r="X1023" s="109"/>
      <c r="Y1023" s="109"/>
      <c r="Z1023" s="109"/>
      <c r="AA1023" s="109"/>
      <c r="AB1023" s="109"/>
      <c r="AC1023" s="109"/>
      <c r="AD1023" s="109"/>
      <c r="AE1023" s="109"/>
      <c r="AF1023" s="109"/>
      <c r="AG1023" s="109"/>
      <c r="AH1023" s="109"/>
      <c r="AI1023" s="109"/>
      <c r="AJ1023" s="109"/>
      <c r="AK1023" s="109"/>
      <c r="AL1023" s="109"/>
      <c r="AM1023" s="109"/>
      <c r="AN1023" s="109"/>
      <c r="AO1023" s="109"/>
      <c r="AP1023" s="109"/>
      <c r="AQ1023" s="109"/>
      <c r="AR1023" s="109"/>
      <c r="AS1023" s="109"/>
      <c r="AT1023" s="109"/>
      <c r="AU1023" s="109"/>
      <c r="AV1023" s="109"/>
      <c r="AW1023" s="109"/>
      <c r="AX1023" s="109"/>
      <c r="AY1023" s="109"/>
      <c r="AZ1023" s="109"/>
    </row>
    <row r="1024" spans="20:52" x14ac:dyDescent="0.65">
      <c r="T1024" s="109"/>
      <c r="U1024" s="109"/>
      <c r="V1024" s="109"/>
      <c r="W1024" s="109"/>
      <c r="X1024" s="109"/>
      <c r="Y1024" s="109"/>
      <c r="Z1024" s="109"/>
      <c r="AA1024" s="109"/>
      <c r="AB1024" s="109"/>
      <c r="AC1024" s="109"/>
      <c r="AD1024" s="109"/>
      <c r="AE1024" s="109"/>
      <c r="AF1024" s="109"/>
      <c r="AG1024" s="109"/>
      <c r="AH1024" s="109"/>
      <c r="AI1024" s="109"/>
      <c r="AJ1024" s="109"/>
      <c r="AK1024" s="109"/>
      <c r="AL1024" s="109"/>
      <c r="AM1024" s="109"/>
      <c r="AN1024" s="109"/>
      <c r="AO1024" s="109"/>
      <c r="AP1024" s="109"/>
      <c r="AQ1024" s="109"/>
      <c r="AR1024" s="109"/>
      <c r="AS1024" s="109"/>
      <c r="AT1024" s="109"/>
      <c r="AU1024" s="109"/>
      <c r="AV1024" s="109"/>
      <c r="AW1024" s="109"/>
      <c r="AX1024" s="109"/>
      <c r="AY1024" s="109"/>
      <c r="AZ1024" s="109"/>
    </row>
    <row r="1025" spans="20:52" x14ac:dyDescent="0.65">
      <c r="T1025" s="109"/>
      <c r="U1025" s="109"/>
      <c r="V1025" s="109"/>
      <c r="W1025" s="109"/>
      <c r="X1025" s="109"/>
      <c r="Y1025" s="109"/>
      <c r="Z1025" s="109"/>
      <c r="AA1025" s="109"/>
      <c r="AB1025" s="109"/>
      <c r="AC1025" s="109"/>
      <c r="AD1025" s="109"/>
      <c r="AE1025" s="109"/>
      <c r="AF1025" s="109"/>
      <c r="AG1025" s="109"/>
      <c r="AH1025" s="109"/>
      <c r="AI1025" s="109"/>
      <c r="AJ1025" s="109"/>
      <c r="AK1025" s="109"/>
      <c r="AL1025" s="109"/>
      <c r="AM1025" s="109"/>
      <c r="AN1025" s="109"/>
      <c r="AO1025" s="109"/>
      <c r="AP1025" s="109"/>
      <c r="AQ1025" s="109"/>
      <c r="AR1025" s="109"/>
      <c r="AS1025" s="109"/>
      <c r="AT1025" s="109"/>
      <c r="AU1025" s="109"/>
      <c r="AV1025" s="109"/>
      <c r="AW1025" s="109"/>
      <c r="AX1025" s="109"/>
      <c r="AY1025" s="109"/>
      <c r="AZ1025" s="109"/>
    </row>
    <row r="1026" spans="20:52" x14ac:dyDescent="0.65">
      <c r="T1026" s="109"/>
      <c r="U1026" s="109"/>
      <c r="V1026" s="109"/>
      <c r="W1026" s="109"/>
      <c r="X1026" s="109"/>
      <c r="Y1026" s="109"/>
      <c r="Z1026" s="109"/>
      <c r="AA1026" s="109"/>
      <c r="AB1026" s="109"/>
      <c r="AC1026" s="109"/>
      <c r="AD1026" s="109"/>
      <c r="AE1026" s="109"/>
      <c r="AF1026" s="109"/>
      <c r="AG1026" s="109"/>
      <c r="AH1026" s="109"/>
      <c r="AI1026" s="109"/>
      <c r="AJ1026" s="109"/>
      <c r="AK1026" s="109"/>
      <c r="AL1026" s="109"/>
      <c r="AM1026" s="109"/>
      <c r="AN1026" s="109"/>
      <c r="AO1026" s="109"/>
      <c r="AP1026" s="109"/>
      <c r="AQ1026" s="109"/>
      <c r="AR1026" s="109"/>
      <c r="AS1026" s="109"/>
      <c r="AT1026" s="109"/>
      <c r="AU1026" s="109"/>
      <c r="AV1026" s="109"/>
      <c r="AW1026" s="109"/>
      <c r="AX1026" s="109"/>
      <c r="AY1026" s="109"/>
      <c r="AZ1026" s="109"/>
    </row>
    <row r="1027" spans="20:52" x14ac:dyDescent="0.65">
      <c r="T1027" s="109"/>
      <c r="U1027" s="109"/>
      <c r="V1027" s="109"/>
      <c r="W1027" s="109"/>
      <c r="X1027" s="109"/>
      <c r="Y1027" s="109"/>
      <c r="Z1027" s="109"/>
      <c r="AA1027" s="109"/>
      <c r="AB1027" s="109"/>
      <c r="AC1027" s="109"/>
      <c r="AD1027" s="109"/>
      <c r="AE1027" s="109"/>
      <c r="AF1027" s="109"/>
      <c r="AG1027" s="109"/>
      <c r="AH1027" s="109"/>
      <c r="AI1027" s="109"/>
      <c r="AJ1027" s="109"/>
      <c r="AK1027" s="109"/>
      <c r="AL1027" s="109"/>
      <c r="AM1027" s="109"/>
      <c r="AN1027" s="109"/>
      <c r="AO1027" s="109"/>
      <c r="AP1027" s="109"/>
      <c r="AQ1027" s="109"/>
      <c r="AR1027" s="109"/>
      <c r="AS1027" s="109"/>
      <c r="AT1027" s="109"/>
      <c r="AU1027" s="109"/>
      <c r="AV1027" s="109"/>
      <c r="AW1027" s="109"/>
      <c r="AX1027" s="109"/>
      <c r="AY1027" s="109"/>
      <c r="AZ1027" s="109"/>
    </row>
    <row r="1028" spans="20:52" x14ac:dyDescent="0.65">
      <c r="T1028" s="109"/>
      <c r="U1028" s="109"/>
      <c r="V1028" s="109"/>
      <c r="W1028" s="109"/>
      <c r="X1028" s="109"/>
      <c r="Y1028" s="109"/>
      <c r="Z1028" s="109"/>
      <c r="AA1028" s="109"/>
      <c r="AB1028" s="109"/>
      <c r="AC1028" s="109"/>
      <c r="AD1028" s="109"/>
      <c r="AE1028" s="109"/>
      <c r="AF1028" s="109"/>
      <c r="AG1028" s="109"/>
      <c r="AH1028" s="109"/>
      <c r="AI1028" s="109"/>
      <c r="AJ1028" s="109"/>
      <c r="AK1028" s="109"/>
      <c r="AL1028" s="109"/>
      <c r="AM1028" s="109"/>
      <c r="AN1028" s="109"/>
      <c r="AO1028" s="109"/>
      <c r="AP1028" s="109"/>
      <c r="AQ1028" s="109"/>
      <c r="AR1028" s="109"/>
      <c r="AS1028" s="109"/>
      <c r="AT1028" s="109"/>
      <c r="AU1028" s="109"/>
      <c r="AV1028" s="109"/>
      <c r="AW1028" s="109"/>
      <c r="AX1028" s="109"/>
      <c r="AY1028" s="109"/>
      <c r="AZ1028" s="109"/>
    </row>
    <row r="1029" spans="20:52" x14ac:dyDescent="0.65">
      <c r="T1029" s="109"/>
      <c r="U1029" s="109"/>
      <c r="V1029" s="109"/>
      <c r="W1029" s="109"/>
      <c r="X1029" s="109"/>
      <c r="Y1029" s="109"/>
      <c r="Z1029" s="109"/>
      <c r="AA1029" s="109"/>
      <c r="AB1029" s="109"/>
      <c r="AC1029" s="109"/>
      <c r="AD1029" s="109"/>
      <c r="AE1029" s="109"/>
      <c r="AF1029" s="109"/>
      <c r="AG1029" s="109"/>
      <c r="AH1029" s="109"/>
      <c r="AI1029" s="109"/>
      <c r="AJ1029" s="109"/>
      <c r="AK1029" s="109"/>
      <c r="AL1029" s="109"/>
      <c r="AM1029" s="109"/>
      <c r="AN1029" s="109"/>
      <c r="AO1029" s="109"/>
      <c r="AP1029" s="109"/>
      <c r="AQ1029" s="109"/>
      <c r="AR1029" s="109"/>
      <c r="AS1029" s="109"/>
      <c r="AT1029" s="109"/>
      <c r="AU1029" s="109"/>
      <c r="AV1029" s="109"/>
      <c r="AW1029" s="109"/>
      <c r="AX1029" s="109"/>
      <c r="AY1029" s="109"/>
      <c r="AZ1029" s="109"/>
    </row>
    <row r="1030" spans="20:52" x14ac:dyDescent="0.65">
      <c r="T1030" s="109"/>
      <c r="U1030" s="109"/>
      <c r="V1030" s="109"/>
      <c r="W1030" s="109"/>
      <c r="X1030" s="109"/>
      <c r="Y1030" s="109"/>
      <c r="Z1030" s="109"/>
      <c r="AA1030" s="109"/>
      <c r="AB1030" s="109"/>
      <c r="AC1030" s="109"/>
      <c r="AD1030" s="109"/>
      <c r="AE1030" s="109"/>
      <c r="AF1030" s="109"/>
      <c r="AG1030" s="109"/>
      <c r="AH1030" s="109"/>
      <c r="AI1030" s="109"/>
      <c r="AJ1030" s="109"/>
      <c r="AK1030" s="109"/>
      <c r="AL1030" s="109"/>
      <c r="AM1030" s="109"/>
      <c r="AN1030" s="109"/>
      <c r="AO1030" s="109"/>
      <c r="AP1030" s="109"/>
      <c r="AQ1030" s="109"/>
      <c r="AR1030" s="109"/>
      <c r="AS1030" s="109"/>
      <c r="AT1030" s="109"/>
      <c r="AU1030" s="109"/>
      <c r="AV1030" s="109"/>
      <c r="AW1030" s="109"/>
      <c r="AX1030" s="109"/>
      <c r="AY1030" s="109"/>
      <c r="AZ1030" s="109"/>
    </row>
    <row r="1031" spans="20:52" x14ac:dyDescent="0.65">
      <c r="T1031" s="109"/>
      <c r="U1031" s="109"/>
      <c r="V1031" s="109"/>
      <c r="W1031" s="109"/>
      <c r="X1031" s="109"/>
      <c r="Y1031" s="109"/>
      <c r="Z1031" s="109"/>
      <c r="AA1031" s="109"/>
      <c r="AB1031" s="109"/>
      <c r="AC1031" s="109"/>
      <c r="AD1031" s="109"/>
      <c r="AE1031" s="109"/>
      <c r="AF1031" s="109"/>
      <c r="AG1031" s="109"/>
      <c r="AH1031" s="109"/>
      <c r="AI1031" s="109"/>
      <c r="AJ1031" s="109"/>
      <c r="AK1031" s="109"/>
      <c r="AL1031" s="109"/>
      <c r="AM1031" s="109"/>
      <c r="AN1031" s="109"/>
      <c r="AO1031" s="109"/>
      <c r="AP1031" s="109"/>
      <c r="AQ1031" s="109"/>
      <c r="AR1031" s="109"/>
      <c r="AS1031" s="109"/>
      <c r="AT1031" s="109"/>
      <c r="AU1031" s="109"/>
      <c r="AV1031" s="109"/>
      <c r="AW1031" s="109"/>
      <c r="AX1031" s="109"/>
      <c r="AY1031" s="109"/>
      <c r="AZ1031" s="109"/>
    </row>
    <row r="1032" spans="20:52" x14ac:dyDescent="0.65">
      <c r="T1032" s="109"/>
      <c r="U1032" s="109"/>
      <c r="V1032" s="109"/>
      <c r="W1032" s="109"/>
      <c r="X1032" s="109"/>
      <c r="Y1032" s="109"/>
      <c r="Z1032" s="109"/>
      <c r="AA1032" s="109"/>
      <c r="AB1032" s="109"/>
      <c r="AC1032" s="109"/>
      <c r="AD1032" s="109"/>
      <c r="AE1032" s="109"/>
      <c r="AF1032" s="109"/>
      <c r="AG1032" s="109"/>
      <c r="AH1032" s="109"/>
      <c r="AI1032" s="109"/>
      <c r="AJ1032" s="109"/>
      <c r="AK1032" s="109"/>
      <c r="AL1032" s="109"/>
      <c r="AM1032" s="109"/>
      <c r="AN1032" s="109"/>
      <c r="AO1032" s="109"/>
      <c r="AP1032" s="109"/>
      <c r="AQ1032" s="109"/>
      <c r="AR1032" s="109"/>
      <c r="AS1032" s="109"/>
      <c r="AT1032" s="109"/>
      <c r="AU1032" s="109"/>
      <c r="AV1032" s="109"/>
      <c r="AW1032" s="109"/>
      <c r="AX1032" s="109"/>
      <c r="AY1032" s="109"/>
      <c r="AZ1032" s="109"/>
    </row>
    <row r="1033" spans="20:52" x14ac:dyDescent="0.65">
      <c r="T1033" s="109"/>
      <c r="U1033" s="109"/>
      <c r="V1033" s="109"/>
      <c r="W1033" s="109"/>
      <c r="X1033" s="109"/>
      <c r="Y1033" s="109"/>
      <c r="Z1033" s="109"/>
      <c r="AA1033" s="109"/>
      <c r="AB1033" s="109"/>
      <c r="AC1033" s="109"/>
      <c r="AD1033" s="109"/>
      <c r="AE1033" s="109"/>
      <c r="AF1033" s="109"/>
      <c r="AG1033" s="109"/>
      <c r="AH1033" s="109"/>
      <c r="AI1033" s="109"/>
      <c r="AJ1033" s="109"/>
      <c r="AK1033" s="109"/>
      <c r="AL1033" s="109"/>
      <c r="AM1033" s="109"/>
      <c r="AN1033" s="109"/>
      <c r="AO1033" s="109"/>
      <c r="AP1033" s="109"/>
      <c r="AQ1033" s="109"/>
      <c r="AR1033" s="109"/>
      <c r="AS1033" s="109"/>
      <c r="AT1033" s="109"/>
      <c r="AU1033" s="109"/>
      <c r="AV1033" s="109"/>
      <c r="AW1033" s="109"/>
      <c r="AX1033" s="109"/>
      <c r="AY1033" s="109"/>
      <c r="AZ1033" s="109"/>
    </row>
    <row r="1034" spans="20:52" x14ac:dyDescent="0.65">
      <c r="T1034" s="109"/>
      <c r="U1034" s="109"/>
      <c r="V1034" s="109"/>
      <c r="W1034" s="109"/>
      <c r="X1034" s="109"/>
      <c r="Y1034" s="109"/>
      <c r="Z1034" s="109"/>
      <c r="AA1034" s="109"/>
      <c r="AB1034" s="109"/>
      <c r="AC1034" s="109"/>
      <c r="AD1034" s="109"/>
      <c r="AE1034" s="109"/>
      <c r="AF1034" s="109"/>
      <c r="AG1034" s="109"/>
      <c r="AH1034" s="109"/>
      <c r="AI1034" s="109"/>
      <c r="AJ1034" s="109"/>
      <c r="AK1034" s="109"/>
      <c r="AL1034" s="109"/>
      <c r="AM1034" s="109"/>
      <c r="AN1034" s="109"/>
      <c r="AO1034" s="109"/>
      <c r="AP1034" s="109"/>
      <c r="AQ1034" s="109"/>
      <c r="AR1034" s="109"/>
      <c r="AS1034" s="109"/>
      <c r="AT1034" s="109"/>
      <c r="AU1034" s="109"/>
      <c r="AV1034" s="109"/>
      <c r="AW1034" s="109"/>
      <c r="AX1034" s="109"/>
      <c r="AY1034" s="109"/>
      <c r="AZ1034" s="109"/>
    </row>
    <row r="1035" spans="20:52" x14ac:dyDescent="0.65">
      <c r="T1035" s="109"/>
      <c r="U1035" s="109"/>
      <c r="V1035" s="109"/>
      <c r="W1035" s="109"/>
      <c r="X1035" s="109"/>
      <c r="Y1035" s="109"/>
      <c r="Z1035" s="109"/>
      <c r="AA1035" s="109"/>
      <c r="AB1035" s="109"/>
      <c r="AC1035" s="109"/>
      <c r="AD1035" s="109"/>
      <c r="AE1035" s="109"/>
      <c r="AF1035" s="109"/>
      <c r="AG1035" s="109"/>
      <c r="AH1035" s="109"/>
      <c r="AI1035" s="109"/>
      <c r="AJ1035" s="109"/>
      <c r="AK1035" s="109"/>
      <c r="AL1035" s="109"/>
      <c r="AM1035" s="109"/>
      <c r="AN1035" s="109"/>
      <c r="AO1035" s="109"/>
      <c r="AP1035" s="109"/>
      <c r="AQ1035" s="109"/>
      <c r="AR1035" s="109"/>
      <c r="AS1035" s="109"/>
      <c r="AT1035" s="109"/>
      <c r="AU1035" s="109"/>
      <c r="AV1035" s="109"/>
      <c r="AW1035" s="109"/>
      <c r="AX1035" s="109"/>
      <c r="AY1035" s="109"/>
      <c r="AZ1035" s="109"/>
    </row>
    <row r="1036" spans="20:52" x14ac:dyDescent="0.65">
      <c r="T1036" s="109"/>
      <c r="U1036" s="109"/>
      <c r="V1036" s="109"/>
      <c r="W1036" s="109"/>
      <c r="X1036" s="109"/>
      <c r="Y1036" s="109"/>
      <c r="Z1036" s="109"/>
      <c r="AA1036" s="109"/>
      <c r="AB1036" s="109"/>
      <c r="AC1036" s="109"/>
      <c r="AD1036" s="109"/>
      <c r="AE1036" s="109"/>
      <c r="AF1036" s="109"/>
      <c r="AG1036" s="109"/>
      <c r="AH1036" s="109"/>
      <c r="AI1036" s="109"/>
      <c r="AJ1036" s="109"/>
      <c r="AK1036" s="109"/>
      <c r="AL1036" s="109"/>
      <c r="AM1036" s="109"/>
      <c r="AN1036" s="109"/>
      <c r="AO1036" s="109"/>
      <c r="AP1036" s="109"/>
      <c r="AQ1036" s="109"/>
      <c r="AR1036" s="109"/>
      <c r="AS1036" s="109"/>
      <c r="AT1036" s="109"/>
      <c r="AU1036" s="109"/>
      <c r="AV1036" s="109"/>
      <c r="AW1036" s="109"/>
      <c r="AX1036" s="109"/>
      <c r="AY1036" s="109"/>
      <c r="AZ1036" s="109"/>
    </row>
    <row r="1037" spans="20:52" x14ac:dyDescent="0.65">
      <c r="T1037" s="109"/>
      <c r="U1037" s="109"/>
      <c r="V1037" s="109"/>
      <c r="W1037" s="109"/>
      <c r="X1037" s="109"/>
      <c r="Y1037" s="109"/>
      <c r="Z1037" s="109"/>
      <c r="AA1037" s="109"/>
      <c r="AB1037" s="109"/>
      <c r="AC1037" s="109"/>
      <c r="AD1037" s="109"/>
      <c r="AE1037" s="109"/>
      <c r="AF1037" s="109"/>
      <c r="AG1037" s="109"/>
      <c r="AH1037" s="109"/>
      <c r="AI1037" s="109"/>
      <c r="AJ1037" s="109"/>
      <c r="AK1037" s="109"/>
      <c r="AL1037" s="109"/>
      <c r="AM1037" s="109"/>
      <c r="AN1037" s="109"/>
      <c r="AO1037" s="109"/>
      <c r="AP1037" s="109"/>
      <c r="AQ1037" s="109"/>
      <c r="AR1037" s="109"/>
      <c r="AS1037" s="109"/>
      <c r="AT1037" s="109"/>
      <c r="AU1037" s="109"/>
      <c r="AV1037" s="109"/>
      <c r="AW1037" s="109"/>
      <c r="AX1037" s="109"/>
      <c r="AY1037" s="109"/>
      <c r="AZ1037" s="109"/>
    </row>
    <row r="1038" spans="20:52" x14ac:dyDescent="0.65">
      <c r="T1038" s="109"/>
      <c r="U1038" s="109"/>
      <c r="V1038" s="109"/>
      <c r="W1038" s="109"/>
      <c r="X1038" s="109"/>
      <c r="Y1038" s="109"/>
      <c r="Z1038" s="109"/>
      <c r="AA1038" s="109"/>
      <c r="AB1038" s="109"/>
      <c r="AC1038" s="109"/>
      <c r="AD1038" s="109"/>
      <c r="AE1038" s="109"/>
      <c r="AF1038" s="109"/>
      <c r="AG1038" s="109"/>
      <c r="AH1038" s="109"/>
      <c r="AI1038" s="109"/>
      <c r="AJ1038" s="109"/>
      <c r="AK1038" s="109"/>
      <c r="AL1038" s="109"/>
      <c r="AM1038" s="109"/>
      <c r="AN1038" s="109"/>
      <c r="AO1038" s="109"/>
      <c r="AP1038" s="109"/>
      <c r="AQ1038" s="109"/>
      <c r="AR1038" s="109"/>
      <c r="AS1038" s="109"/>
      <c r="AT1038" s="109"/>
      <c r="AU1038" s="109"/>
      <c r="AV1038" s="109"/>
      <c r="AW1038" s="109"/>
      <c r="AX1038" s="109"/>
      <c r="AY1038" s="109"/>
      <c r="AZ1038" s="109"/>
    </row>
    <row r="1039" spans="20:52" x14ac:dyDescent="0.65">
      <c r="T1039" s="109"/>
      <c r="U1039" s="109"/>
      <c r="V1039" s="109"/>
      <c r="W1039" s="109"/>
      <c r="X1039" s="109"/>
      <c r="Y1039" s="109"/>
      <c r="Z1039" s="109"/>
      <c r="AA1039" s="109"/>
      <c r="AB1039" s="109"/>
      <c r="AC1039" s="109"/>
      <c r="AD1039" s="109"/>
      <c r="AE1039" s="109"/>
      <c r="AF1039" s="109"/>
      <c r="AG1039" s="109"/>
      <c r="AH1039" s="109"/>
      <c r="AI1039" s="109"/>
      <c r="AJ1039" s="109"/>
      <c r="AK1039" s="109"/>
      <c r="AL1039" s="109"/>
      <c r="AM1039" s="109"/>
      <c r="AN1039" s="109"/>
      <c r="AO1039" s="109"/>
      <c r="AP1039" s="109"/>
      <c r="AQ1039" s="109"/>
      <c r="AR1039" s="109"/>
      <c r="AS1039" s="109"/>
      <c r="AT1039" s="109"/>
      <c r="AU1039" s="109"/>
      <c r="AV1039" s="109"/>
      <c r="AW1039" s="109"/>
      <c r="AX1039" s="109"/>
      <c r="AY1039" s="109"/>
      <c r="AZ1039" s="109"/>
    </row>
    <row r="1040" spans="20:52" x14ac:dyDescent="0.65">
      <c r="T1040" s="109"/>
      <c r="U1040" s="109"/>
      <c r="V1040" s="109"/>
      <c r="W1040" s="109"/>
      <c r="X1040" s="109"/>
      <c r="Y1040" s="109"/>
      <c r="Z1040" s="109"/>
      <c r="AA1040" s="109"/>
      <c r="AB1040" s="109"/>
      <c r="AC1040" s="109"/>
      <c r="AD1040" s="109"/>
      <c r="AE1040" s="109"/>
      <c r="AF1040" s="109"/>
      <c r="AG1040" s="109"/>
      <c r="AH1040" s="109"/>
      <c r="AI1040" s="109"/>
      <c r="AJ1040" s="109"/>
      <c r="AK1040" s="109"/>
      <c r="AL1040" s="109"/>
      <c r="AM1040" s="109"/>
      <c r="AN1040" s="109"/>
      <c r="AO1040" s="109"/>
      <c r="AP1040" s="109"/>
      <c r="AQ1040" s="109"/>
      <c r="AR1040" s="109"/>
      <c r="AS1040" s="109"/>
      <c r="AT1040" s="109"/>
      <c r="AU1040" s="109"/>
      <c r="AV1040" s="109"/>
      <c r="AW1040" s="109"/>
      <c r="AX1040" s="109"/>
      <c r="AY1040" s="109"/>
      <c r="AZ1040" s="109"/>
    </row>
    <row r="1041" spans="20:52" x14ac:dyDescent="0.65">
      <c r="T1041" s="109"/>
      <c r="U1041" s="109"/>
      <c r="V1041" s="109"/>
      <c r="W1041" s="109"/>
      <c r="X1041" s="109"/>
      <c r="Y1041" s="109"/>
      <c r="Z1041" s="109"/>
      <c r="AA1041" s="109"/>
      <c r="AB1041" s="109"/>
      <c r="AC1041" s="109"/>
      <c r="AD1041" s="109"/>
      <c r="AE1041" s="109"/>
      <c r="AF1041" s="109"/>
      <c r="AG1041" s="109"/>
      <c r="AH1041" s="109"/>
      <c r="AI1041" s="109"/>
      <c r="AJ1041" s="109"/>
      <c r="AK1041" s="109"/>
      <c r="AL1041" s="109"/>
      <c r="AM1041" s="109"/>
      <c r="AN1041" s="109"/>
      <c r="AO1041" s="109"/>
      <c r="AP1041" s="109"/>
      <c r="AQ1041" s="109"/>
      <c r="AR1041" s="109"/>
      <c r="AS1041" s="109"/>
      <c r="AT1041" s="109"/>
      <c r="AU1041" s="109"/>
      <c r="AV1041" s="109"/>
      <c r="AW1041" s="109"/>
      <c r="AX1041" s="109"/>
      <c r="AY1041" s="109"/>
      <c r="AZ1041" s="109"/>
    </row>
    <row r="1042" spans="20:52" x14ac:dyDescent="0.65">
      <c r="T1042" s="109"/>
      <c r="U1042" s="109"/>
      <c r="V1042" s="109"/>
      <c r="W1042" s="109"/>
      <c r="X1042" s="109"/>
      <c r="Y1042" s="109"/>
      <c r="Z1042" s="109"/>
      <c r="AA1042" s="109"/>
      <c r="AB1042" s="109"/>
      <c r="AC1042" s="109"/>
      <c r="AD1042" s="109"/>
      <c r="AE1042" s="109"/>
      <c r="AF1042" s="109"/>
      <c r="AG1042" s="109"/>
      <c r="AH1042" s="109"/>
      <c r="AI1042" s="109"/>
      <c r="AJ1042" s="109"/>
      <c r="AK1042" s="109"/>
      <c r="AL1042" s="109"/>
      <c r="AM1042" s="109"/>
      <c r="AN1042" s="109"/>
      <c r="AO1042" s="109"/>
      <c r="AP1042" s="109"/>
      <c r="AQ1042" s="109"/>
      <c r="AR1042" s="109"/>
      <c r="AS1042" s="109"/>
      <c r="AT1042" s="109"/>
      <c r="AU1042" s="109"/>
      <c r="AV1042" s="109"/>
      <c r="AW1042" s="109"/>
      <c r="AX1042" s="109"/>
      <c r="AY1042" s="109"/>
      <c r="AZ1042" s="109"/>
    </row>
    <row r="1043" spans="20:52" x14ac:dyDescent="0.65">
      <c r="T1043" s="109"/>
      <c r="U1043" s="109"/>
      <c r="V1043" s="109"/>
      <c r="W1043" s="109"/>
      <c r="X1043" s="109"/>
      <c r="Y1043" s="109"/>
      <c r="Z1043" s="109"/>
      <c r="AA1043" s="109"/>
      <c r="AB1043" s="109"/>
      <c r="AC1043" s="109"/>
      <c r="AD1043" s="109"/>
      <c r="AE1043" s="109"/>
      <c r="AF1043" s="109"/>
      <c r="AG1043" s="109"/>
      <c r="AH1043" s="109"/>
      <c r="AI1043" s="109"/>
      <c r="AJ1043" s="109"/>
      <c r="AK1043" s="109"/>
      <c r="AL1043" s="109"/>
      <c r="AM1043" s="109"/>
      <c r="AN1043" s="109"/>
      <c r="AO1043" s="109"/>
      <c r="AP1043" s="109"/>
      <c r="AQ1043" s="109"/>
      <c r="AR1043" s="109"/>
      <c r="AS1043" s="109"/>
      <c r="AT1043" s="109"/>
      <c r="AU1043" s="109"/>
      <c r="AV1043" s="109"/>
      <c r="AW1043" s="109"/>
      <c r="AX1043" s="109"/>
      <c r="AY1043" s="109"/>
      <c r="AZ1043" s="109"/>
    </row>
    <row r="1044" spans="20:52" x14ac:dyDescent="0.65">
      <c r="T1044" s="109"/>
      <c r="U1044" s="109"/>
      <c r="V1044" s="109"/>
      <c r="W1044" s="109"/>
      <c r="X1044" s="109"/>
      <c r="Y1044" s="109"/>
      <c r="Z1044" s="109"/>
      <c r="AA1044" s="109"/>
      <c r="AB1044" s="109"/>
      <c r="AC1044" s="109"/>
      <c r="AD1044" s="109"/>
      <c r="AE1044" s="109"/>
      <c r="AF1044" s="109"/>
      <c r="AG1044" s="109"/>
      <c r="AH1044" s="109"/>
      <c r="AI1044" s="109"/>
      <c r="AJ1044" s="109"/>
      <c r="AK1044" s="109"/>
      <c r="AL1044" s="109"/>
      <c r="AM1044" s="109"/>
      <c r="AN1044" s="109"/>
      <c r="AO1044" s="109"/>
      <c r="AP1044" s="109"/>
      <c r="AQ1044" s="109"/>
      <c r="AR1044" s="109"/>
      <c r="AS1044" s="109"/>
      <c r="AT1044" s="109"/>
      <c r="AU1044" s="109"/>
      <c r="AV1044" s="109"/>
      <c r="AW1044" s="109"/>
      <c r="AX1044" s="109"/>
      <c r="AY1044" s="109"/>
      <c r="AZ1044" s="109"/>
    </row>
    <row r="1045" spans="20:52" x14ac:dyDescent="0.65">
      <c r="T1045" s="109"/>
      <c r="U1045" s="109"/>
      <c r="V1045" s="109"/>
      <c r="W1045" s="109"/>
      <c r="X1045" s="109"/>
      <c r="Y1045" s="109"/>
      <c r="Z1045" s="109"/>
      <c r="AA1045" s="109"/>
      <c r="AB1045" s="109"/>
      <c r="AC1045" s="109"/>
      <c r="AD1045" s="109"/>
      <c r="AE1045" s="109"/>
      <c r="AF1045" s="109"/>
      <c r="AG1045" s="109"/>
      <c r="AH1045" s="109"/>
      <c r="AI1045" s="109"/>
      <c r="AJ1045" s="109"/>
      <c r="AK1045" s="109"/>
      <c r="AL1045" s="109"/>
      <c r="AM1045" s="109"/>
      <c r="AN1045" s="109"/>
      <c r="AO1045" s="109"/>
      <c r="AP1045" s="109"/>
      <c r="AQ1045" s="109"/>
      <c r="AR1045" s="109"/>
      <c r="AS1045" s="109"/>
      <c r="AT1045" s="109"/>
      <c r="AU1045" s="109"/>
      <c r="AV1045" s="109"/>
      <c r="AW1045" s="109"/>
      <c r="AX1045" s="109"/>
      <c r="AY1045" s="109"/>
      <c r="AZ1045" s="109"/>
    </row>
    <row r="1046" spans="20:52" x14ac:dyDescent="0.65">
      <c r="T1046" s="109"/>
      <c r="U1046" s="109"/>
      <c r="V1046" s="109"/>
      <c r="W1046" s="109"/>
      <c r="X1046" s="109"/>
      <c r="Y1046" s="109"/>
      <c r="Z1046" s="109"/>
      <c r="AA1046" s="109"/>
      <c r="AB1046" s="109"/>
      <c r="AC1046" s="109"/>
      <c r="AD1046" s="109"/>
      <c r="AE1046" s="109"/>
      <c r="AF1046" s="109"/>
      <c r="AG1046" s="109"/>
      <c r="AH1046" s="109"/>
      <c r="AI1046" s="109"/>
      <c r="AJ1046" s="109"/>
      <c r="AK1046" s="109"/>
      <c r="AL1046" s="109"/>
      <c r="AM1046" s="109"/>
      <c r="AN1046" s="109"/>
      <c r="AO1046" s="109"/>
      <c r="AP1046" s="109"/>
      <c r="AQ1046" s="109"/>
      <c r="AR1046" s="109"/>
      <c r="AS1046" s="109"/>
      <c r="AT1046" s="109"/>
      <c r="AU1046" s="109"/>
      <c r="AV1046" s="109"/>
      <c r="AW1046" s="109"/>
      <c r="AX1046" s="109"/>
      <c r="AY1046" s="109"/>
      <c r="AZ1046" s="109"/>
    </row>
    <row r="1047" spans="20:52" x14ac:dyDescent="0.65">
      <c r="T1047" s="109"/>
      <c r="U1047" s="109"/>
      <c r="V1047" s="109"/>
      <c r="W1047" s="109"/>
      <c r="X1047" s="109"/>
      <c r="Y1047" s="109"/>
      <c r="Z1047" s="109"/>
      <c r="AA1047" s="109"/>
      <c r="AB1047" s="109"/>
      <c r="AC1047" s="109"/>
      <c r="AD1047" s="109"/>
      <c r="AE1047" s="109"/>
      <c r="AF1047" s="109"/>
      <c r="AG1047" s="109"/>
      <c r="AH1047" s="109"/>
      <c r="AI1047" s="109"/>
      <c r="AJ1047" s="109"/>
      <c r="AK1047" s="109"/>
      <c r="AL1047" s="109"/>
      <c r="AM1047" s="109"/>
      <c r="AN1047" s="109"/>
      <c r="AO1047" s="109"/>
      <c r="AP1047" s="109"/>
      <c r="AQ1047" s="109"/>
      <c r="AR1047" s="109"/>
      <c r="AS1047" s="109"/>
      <c r="AT1047" s="109"/>
      <c r="AU1047" s="109"/>
      <c r="AV1047" s="109"/>
      <c r="AW1047" s="109"/>
      <c r="AX1047" s="109"/>
      <c r="AY1047" s="109"/>
      <c r="AZ1047" s="109"/>
    </row>
    <row r="1048" spans="20:52" x14ac:dyDescent="0.65">
      <c r="T1048" s="109"/>
      <c r="U1048" s="109"/>
      <c r="V1048" s="109"/>
      <c r="W1048" s="109"/>
      <c r="X1048" s="109"/>
      <c r="Y1048" s="109"/>
      <c r="Z1048" s="109"/>
      <c r="AA1048" s="109"/>
      <c r="AB1048" s="109"/>
      <c r="AC1048" s="109"/>
      <c r="AD1048" s="109"/>
      <c r="AE1048" s="109"/>
      <c r="AF1048" s="109"/>
      <c r="AG1048" s="109"/>
      <c r="AH1048" s="109"/>
      <c r="AI1048" s="109"/>
      <c r="AJ1048" s="109"/>
      <c r="AK1048" s="109"/>
      <c r="AL1048" s="109"/>
      <c r="AM1048" s="109"/>
      <c r="AN1048" s="109"/>
      <c r="AO1048" s="109"/>
      <c r="AP1048" s="109"/>
      <c r="AQ1048" s="109"/>
      <c r="AR1048" s="109"/>
      <c r="AS1048" s="109"/>
      <c r="AT1048" s="109"/>
      <c r="AU1048" s="109"/>
      <c r="AV1048" s="109"/>
      <c r="AW1048" s="109"/>
      <c r="AX1048" s="109"/>
      <c r="AY1048" s="109"/>
      <c r="AZ1048" s="109"/>
    </row>
    <row r="1049" spans="20:52" x14ac:dyDescent="0.65">
      <c r="T1049" s="109"/>
      <c r="U1049" s="109"/>
      <c r="V1049" s="109"/>
      <c r="W1049" s="109"/>
      <c r="X1049" s="109"/>
      <c r="Y1049" s="109"/>
      <c r="Z1049" s="109"/>
      <c r="AA1049" s="109"/>
      <c r="AB1049" s="109"/>
      <c r="AC1049" s="109"/>
      <c r="AD1049" s="109"/>
      <c r="AE1049" s="109"/>
      <c r="AF1049" s="109"/>
      <c r="AG1049" s="109"/>
      <c r="AH1049" s="109"/>
      <c r="AI1049" s="109"/>
      <c r="AJ1049" s="109"/>
      <c r="AK1049" s="109"/>
      <c r="AL1049" s="109"/>
      <c r="AM1049" s="109"/>
      <c r="AN1049" s="109"/>
      <c r="AO1049" s="109"/>
      <c r="AP1049" s="109"/>
      <c r="AQ1049" s="109"/>
      <c r="AR1049" s="109"/>
      <c r="AS1049" s="109"/>
      <c r="AT1049" s="109"/>
      <c r="AU1049" s="109"/>
      <c r="AV1049" s="109"/>
      <c r="AW1049" s="109"/>
      <c r="AX1049" s="109"/>
      <c r="AY1049" s="109"/>
      <c r="AZ1049" s="109"/>
    </row>
    <row r="1050" spans="20:52" x14ac:dyDescent="0.65">
      <c r="T1050" s="109"/>
      <c r="U1050" s="109"/>
      <c r="V1050" s="109"/>
      <c r="W1050" s="109"/>
      <c r="X1050" s="109"/>
      <c r="Y1050" s="109"/>
      <c r="Z1050" s="109"/>
      <c r="AA1050" s="109"/>
      <c r="AB1050" s="109"/>
      <c r="AC1050" s="109"/>
      <c r="AD1050" s="109"/>
      <c r="AE1050" s="109"/>
      <c r="AF1050" s="109"/>
      <c r="AG1050" s="109"/>
      <c r="AH1050" s="109"/>
      <c r="AI1050" s="109"/>
      <c r="AJ1050" s="109"/>
      <c r="AK1050" s="109"/>
      <c r="AL1050" s="109"/>
      <c r="AM1050" s="109"/>
      <c r="AN1050" s="109"/>
      <c r="AO1050" s="109"/>
      <c r="AP1050" s="109"/>
      <c r="AQ1050" s="109"/>
      <c r="AR1050" s="109"/>
      <c r="AS1050" s="109"/>
      <c r="AT1050" s="109"/>
      <c r="AU1050" s="109"/>
      <c r="AV1050" s="109"/>
      <c r="AW1050" s="109"/>
      <c r="AX1050" s="109"/>
      <c r="AY1050" s="109"/>
      <c r="AZ1050" s="109"/>
    </row>
    <row r="1051" spans="20:52" x14ac:dyDescent="0.65">
      <c r="T1051" s="109"/>
      <c r="U1051" s="109"/>
      <c r="V1051" s="109"/>
      <c r="W1051" s="109"/>
      <c r="X1051" s="109"/>
      <c r="Y1051" s="109"/>
      <c r="Z1051" s="109"/>
      <c r="AA1051" s="109"/>
      <c r="AB1051" s="109"/>
      <c r="AC1051" s="109"/>
      <c r="AD1051" s="109"/>
      <c r="AE1051" s="109"/>
      <c r="AF1051" s="109"/>
      <c r="AG1051" s="109"/>
      <c r="AH1051" s="109"/>
      <c r="AI1051" s="109"/>
      <c r="AJ1051" s="109"/>
      <c r="AK1051" s="109"/>
      <c r="AL1051" s="109"/>
      <c r="AM1051" s="109"/>
      <c r="AN1051" s="109"/>
      <c r="AO1051" s="109"/>
      <c r="AP1051" s="109"/>
      <c r="AQ1051" s="109"/>
      <c r="AR1051" s="109"/>
      <c r="AS1051" s="109"/>
      <c r="AT1051" s="109"/>
      <c r="AU1051" s="109"/>
      <c r="AV1051" s="109"/>
      <c r="AW1051" s="109"/>
      <c r="AX1051" s="109"/>
      <c r="AY1051" s="109"/>
      <c r="AZ1051" s="109"/>
    </row>
    <row r="1052" spans="20:52" x14ac:dyDescent="0.65">
      <c r="T1052" s="109"/>
      <c r="U1052" s="109"/>
      <c r="V1052" s="109"/>
      <c r="W1052" s="109"/>
      <c r="X1052" s="109"/>
      <c r="Y1052" s="109"/>
      <c r="Z1052" s="109"/>
      <c r="AA1052" s="109"/>
      <c r="AB1052" s="109"/>
      <c r="AC1052" s="109"/>
      <c r="AD1052" s="109"/>
      <c r="AE1052" s="109"/>
      <c r="AF1052" s="109"/>
      <c r="AG1052" s="109"/>
      <c r="AH1052" s="109"/>
      <c r="AI1052" s="109"/>
      <c r="AJ1052" s="109"/>
      <c r="AK1052" s="109"/>
      <c r="AL1052" s="109"/>
      <c r="AM1052" s="109"/>
      <c r="AN1052" s="109"/>
      <c r="AO1052" s="109"/>
      <c r="AP1052" s="109"/>
      <c r="AQ1052" s="109"/>
      <c r="AR1052" s="109"/>
      <c r="AS1052" s="109"/>
      <c r="AT1052" s="109"/>
      <c r="AU1052" s="109"/>
      <c r="AV1052" s="109"/>
      <c r="AW1052" s="109"/>
      <c r="AX1052" s="109"/>
      <c r="AY1052" s="109"/>
      <c r="AZ1052" s="109"/>
    </row>
    <row r="1053" spans="20:52" x14ac:dyDescent="0.65">
      <c r="T1053" s="109"/>
      <c r="U1053" s="109"/>
      <c r="V1053" s="109"/>
      <c r="W1053" s="109"/>
      <c r="X1053" s="109"/>
      <c r="Y1053" s="109"/>
      <c r="Z1053" s="109"/>
      <c r="AA1053" s="109"/>
      <c r="AB1053" s="109"/>
      <c r="AC1053" s="109"/>
      <c r="AD1053" s="109"/>
      <c r="AE1053" s="109"/>
      <c r="AF1053" s="109"/>
      <c r="AG1053" s="109"/>
      <c r="AH1053" s="109"/>
      <c r="AI1053" s="109"/>
      <c r="AJ1053" s="109"/>
      <c r="AK1053" s="109"/>
      <c r="AL1053" s="109"/>
      <c r="AM1053" s="109"/>
      <c r="AN1053" s="109"/>
      <c r="AO1053" s="109"/>
      <c r="AP1053" s="109"/>
      <c r="AQ1053" s="109"/>
      <c r="AR1053" s="109"/>
      <c r="AS1053" s="109"/>
      <c r="AT1053" s="109"/>
      <c r="AU1053" s="109"/>
      <c r="AV1053" s="109"/>
      <c r="AW1053" s="109"/>
      <c r="AX1053" s="109"/>
      <c r="AY1053" s="109"/>
      <c r="AZ1053" s="109"/>
    </row>
    <row r="1054" spans="20:52" x14ac:dyDescent="0.65">
      <c r="T1054" s="109"/>
      <c r="U1054" s="109"/>
      <c r="V1054" s="109"/>
      <c r="W1054" s="109"/>
      <c r="X1054" s="109"/>
      <c r="Y1054" s="109"/>
      <c r="Z1054" s="109"/>
      <c r="AA1054" s="109"/>
      <c r="AB1054" s="109"/>
      <c r="AC1054" s="109"/>
      <c r="AD1054" s="109"/>
      <c r="AE1054" s="109"/>
      <c r="AF1054" s="109"/>
      <c r="AG1054" s="109"/>
      <c r="AH1054" s="109"/>
      <c r="AI1054" s="109"/>
      <c r="AJ1054" s="109"/>
      <c r="AK1054" s="109"/>
      <c r="AL1054" s="109"/>
      <c r="AM1054" s="109"/>
      <c r="AN1054" s="109"/>
      <c r="AO1054" s="109"/>
      <c r="AP1054" s="109"/>
      <c r="AQ1054" s="109"/>
      <c r="AR1054" s="109"/>
      <c r="AS1054" s="109"/>
      <c r="AT1054" s="109"/>
      <c r="AU1054" s="109"/>
      <c r="AV1054" s="109"/>
      <c r="AW1054" s="109"/>
      <c r="AX1054" s="109"/>
      <c r="AY1054" s="109"/>
      <c r="AZ1054" s="109"/>
    </row>
    <row r="1055" spans="20:52" x14ac:dyDescent="0.65">
      <c r="T1055" s="109"/>
      <c r="U1055" s="109"/>
      <c r="V1055" s="109"/>
      <c r="W1055" s="109"/>
      <c r="X1055" s="109"/>
      <c r="Y1055" s="109"/>
      <c r="Z1055" s="109"/>
      <c r="AA1055" s="109"/>
      <c r="AB1055" s="109"/>
      <c r="AC1055" s="109"/>
      <c r="AD1055" s="109"/>
      <c r="AE1055" s="109"/>
      <c r="AF1055" s="109"/>
      <c r="AG1055" s="109"/>
      <c r="AH1055" s="109"/>
      <c r="AI1055" s="109"/>
      <c r="AJ1055" s="109"/>
      <c r="AK1055" s="109"/>
      <c r="AL1055" s="109"/>
      <c r="AM1055" s="109"/>
      <c r="AN1055" s="109"/>
      <c r="AO1055" s="109"/>
      <c r="AP1055" s="109"/>
      <c r="AQ1055" s="109"/>
      <c r="AR1055" s="109"/>
      <c r="AS1055" s="109"/>
      <c r="AT1055" s="109"/>
      <c r="AU1055" s="109"/>
      <c r="AV1055" s="109"/>
      <c r="AW1055" s="109"/>
      <c r="AX1055" s="109"/>
      <c r="AY1055" s="109"/>
      <c r="AZ1055" s="109"/>
    </row>
    <row r="1056" spans="20:52" x14ac:dyDescent="0.65">
      <c r="T1056" s="109"/>
      <c r="U1056" s="109"/>
      <c r="V1056" s="109"/>
      <c r="W1056" s="109"/>
      <c r="X1056" s="109"/>
      <c r="Y1056" s="109"/>
      <c r="Z1056" s="109"/>
      <c r="AA1056" s="109"/>
      <c r="AB1056" s="109"/>
      <c r="AC1056" s="109"/>
      <c r="AD1056" s="109"/>
      <c r="AE1056" s="109"/>
      <c r="AF1056" s="109"/>
      <c r="AG1056" s="109"/>
      <c r="AH1056" s="109"/>
      <c r="AI1056" s="109"/>
      <c r="AJ1056" s="109"/>
      <c r="AK1056" s="109"/>
      <c r="AL1056" s="109"/>
      <c r="AM1056" s="109"/>
      <c r="AN1056" s="109"/>
      <c r="AO1056" s="109"/>
      <c r="AP1056" s="109"/>
      <c r="AQ1056" s="109"/>
      <c r="AR1056" s="109"/>
      <c r="AS1056" s="109"/>
      <c r="AT1056" s="109"/>
      <c r="AU1056" s="109"/>
      <c r="AV1056" s="109"/>
      <c r="AW1056" s="109"/>
      <c r="AX1056" s="109"/>
      <c r="AY1056" s="109"/>
      <c r="AZ1056" s="109"/>
    </row>
    <row r="1057" spans="20:52" x14ac:dyDescent="0.65">
      <c r="T1057" s="109"/>
      <c r="U1057" s="109"/>
      <c r="V1057" s="109"/>
      <c r="W1057" s="109"/>
      <c r="X1057" s="109"/>
      <c r="Y1057" s="109"/>
      <c r="Z1057" s="109"/>
      <c r="AA1057" s="109"/>
      <c r="AB1057" s="109"/>
      <c r="AC1057" s="109"/>
      <c r="AD1057" s="109"/>
      <c r="AE1057" s="109"/>
      <c r="AF1057" s="109"/>
      <c r="AG1057" s="109"/>
      <c r="AH1057" s="109"/>
      <c r="AI1057" s="109"/>
      <c r="AJ1057" s="109"/>
      <c r="AK1057" s="109"/>
      <c r="AL1057" s="109"/>
      <c r="AM1057" s="109"/>
      <c r="AN1057" s="109"/>
      <c r="AO1057" s="109"/>
      <c r="AP1057" s="109"/>
      <c r="AQ1057" s="109"/>
      <c r="AR1057" s="109"/>
      <c r="AS1057" s="109"/>
      <c r="AT1057" s="109"/>
      <c r="AU1057" s="109"/>
      <c r="AV1057" s="109"/>
      <c r="AW1057" s="109"/>
      <c r="AX1057" s="109"/>
      <c r="AY1057" s="109"/>
      <c r="AZ1057" s="109"/>
    </row>
    <row r="1058" spans="20:52" x14ac:dyDescent="0.65">
      <c r="T1058" s="109"/>
      <c r="U1058" s="109"/>
      <c r="V1058" s="109"/>
      <c r="W1058" s="109"/>
      <c r="X1058" s="109"/>
      <c r="Y1058" s="109"/>
      <c r="Z1058" s="109"/>
      <c r="AA1058" s="109"/>
      <c r="AB1058" s="109"/>
      <c r="AC1058" s="109"/>
      <c r="AD1058" s="109"/>
      <c r="AE1058" s="109"/>
      <c r="AF1058" s="109"/>
      <c r="AG1058" s="109"/>
      <c r="AH1058" s="109"/>
      <c r="AI1058" s="109"/>
      <c r="AJ1058" s="109"/>
      <c r="AK1058" s="109"/>
      <c r="AL1058" s="109"/>
      <c r="AM1058" s="109"/>
      <c r="AN1058" s="109"/>
      <c r="AO1058" s="109"/>
      <c r="AP1058" s="109"/>
      <c r="AQ1058" s="109"/>
      <c r="AR1058" s="109"/>
      <c r="AS1058" s="109"/>
      <c r="AT1058" s="109"/>
      <c r="AU1058" s="109"/>
      <c r="AV1058" s="109"/>
      <c r="AW1058" s="109"/>
      <c r="AX1058" s="109"/>
      <c r="AY1058" s="109"/>
      <c r="AZ1058" s="109"/>
    </row>
  </sheetData>
  <sheetProtection algorithmName="SHA-512" hashValue="xCJOKVkrhWYIVi6GATlIzGqlUFWEAveHWoCBcywpKtYkZg+IrwAm/Lzrtj0IEf8EJT2oWv9CT5jnn1y1lgK7Sw==" saltValue="mia1jXgKH/ty/wU+zAe+Eg==" spinCount="100000" sheet="1" insertColumns="0" pivotTables="0"/>
  <mergeCells count="287">
    <mergeCell ref="P144:R145"/>
    <mergeCell ref="M324:O325"/>
    <mergeCell ref="P324:R325"/>
    <mergeCell ref="A72:A73"/>
    <mergeCell ref="G371:G372"/>
    <mergeCell ref="H371:H372"/>
    <mergeCell ref="I371:I372"/>
    <mergeCell ref="J371:J372"/>
    <mergeCell ref="K371:K372"/>
    <mergeCell ref="J122:K122"/>
    <mergeCell ref="J123:K123"/>
    <mergeCell ref="J124:K124"/>
    <mergeCell ref="J126:K126"/>
    <mergeCell ref="J127:K127"/>
    <mergeCell ref="B121:C121"/>
    <mergeCell ref="J121:K121"/>
    <mergeCell ref="B118:C118"/>
    <mergeCell ref="B119:C119"/>
    <mergeCell ref="B120:C120"/>
    <mergeCell ref="J118:K118"/>
    <mergeCell ref="J119:K119"/>
    <mergeCell ref="J120:K120"/>
    <mergeCell ref="E328:G328"/>
    <mergeCell ref="A328:A329"/>
    <mergeCell ref="B328:D328"/>
    <mergeCell ref="B532:M532"/>
    <mergeCell ref="B533:M533"/>
    <mergeCell ref="B534:M534"/>
    <mergeCell ref="B535:M535"/>
    <mergeCell ref="B536:M536"/>
    <mergeCell ref="B526:M526"/>
    <mergeCell ref="B527:M527"/>
    <mergeCell ref="B528:M528"/>
    <mergeCell ref="B529:M529"/>
    <mergeCell ref="B530:M530"/>
    <mergeCell ref="B531:M531"/>
    <mergeCell ref="B520:M520"/>
    <mergeCell ref="B521:M521"/>
    <mergeCell ref="B522:M522"/>
    <mergeCell ref="B523:M523"/>
    <mergeCell ref="B524:M524"/>
    <mergeCell ref="B525:M525"/>
    <mergeCell ref="B514:M514"/>
    <mergeCell ref="B515:M515"/>
    <mergeCell ref="B516:M516"/>
    <mergeCell ref="B517:M517"/>
    <mergeCell ref="B518:M518"/>
    <mergeCell ref="B519:M519"/>
    <mergeCell ref="D50:H50"/>
    <mergeCell ref="D52:H52"/>
    <mergeCell ref="C348:D348"/>
    <mergeCell ref="C287:D287"/>
    <mergeCell ref="Q43:R43"/>
    <mergeCell ref="Q46:R46"/>
    <mergeCell ref="Q48:R48"/>
    <mergeCell ref="Q50:R50"/>
    <mergeCell ref="C285:D285"/>
    <mergeCell ref="C346:D346"/>
    <mergeCell ref="C347:D347"/>
    <mergeCell ref="F312:G312"/>
    <mergeCell ref="C282:D282"/>
    <mergeCell ref="C283:D283"/>
    <mergeCell ref="F313:G313"/>
    <mergeCell ref="H327:K327"/>
    <mergeCell ref="D313:E313"/>
    <mergeCell ref="C286:D286"/>
    <mergeCell ref="H340:N341"/>
    <mergeCell ref="O313:Q314"/>
    <mergeCell ref="L323:R323"/>
    <mergeCell ref="A327:G327"/>
    <mergeCell ref="Q53:R53"/>
    <mergeCell ref="Q55:R55"/>
    <mergeCell ref="G580:H580"/>
    <mergeCell ref="G554:H554"/>
    <mergeCell ref="G555:H555"/>
    <mergeCell ref="G573:H573"/>
    <mergeCell ref="G574:H574"/>
    <mergeCell ref="C349:D349"/>
    <mergeCell ref="G576:H576"/>
    <mergeCell ref="B505:M505"/>
    <mergeCell ref="B506:M506"/>
    <mergeCell ref="B507:M507"/>
    <mergeCell ref="G577:H577"/>
    <mergeCell ref="C350:D350"/>
    <mergeCell ref="B512:M512"/>
    <mergeCell ref="B513:M513"/>
    <mergeCell ref="K469:O469"/>
    <mergeCell ref="K409:O409"/>
    <mergeCell ref="K410:O410"/>
    <mergeCell ref="K463:O463"/>
    <mergeCell ref="K464:O464"/>
    <mergeCell ref="K394:O394"/>
    <mergeCell ref="K395:O395"/>
    <mergeCell ref="K396:O396"/>
    <mergeCell ref="K397:O397"/>
    <mergeCell ref="K398:O398"/>
    <mergeCell ref="O554:P554"/>
    <mergeCell ref="K400:O400"/>
    <mergeCell ref="K401:O401"/>
    <mergeCell ref="K402:O402"/>
    <mergeCell ref="C351:D351"/>
    <mergeCell ref="B508:M508"/>
    <mergeCell ref="B509:M509"/>
    <mergeCell ref="B510:M510"/>
    <mergeCell ref="B511:M511"/>
    <mergeCell ref="A395:F395"/>
    <mergeCell ref="A396:F396"/>
    <mergeCell ref="A397:F397"/>
    <mergeCell ref="N379:O379"/>
    <mergeCell ref="L371:L372"/>
    <mergeCell ref="M371:M372"/>
    <mergeCell ref="A394:F394"/>
    <mergeCell ref="K404:O404"/>
    <mergeCell ref="L554:M554"/>
    <mergeCell ref="K405:O405"/>
    <mergeCell ref="K406:O406"/>
    <mergeCell ref="K407:O407"/>
    <mergeCell ref="K465:O465"/>
    <mergeCell ref="K467:O467"/>
    <mergeCell ref="K468:O468"/>
    <mergeCell ref="K485:O485"/>
    <mergeCell ref="K486:O486"/>
    <mergeCell ref="K475:O475"/>
    <mergeCell ref="K476:O476"/>
    <mergeCell ref="K477:O477"/>
    <mergeCell ref="K478:O478"/>
    <mergeCell ref="K479:O479"/>
    <mergeCell ref="K481:O481"/>
    <mergeCell ref="K482:O482"/>
    <mergeCell ref="K483:O483"/>
    <mergeCell ref="K484:O484"/>
    <mergeCell ref="K480:O480"/>
    <mergeCell ref="K494:O494"/>
    <mergeCell ref="K495:O495"/>
    <mergeCell ref="K496:O496"/>
    <mergeCell ref="K487:O487"/>
    <mergeCell ref="K488:O488"/>
    <mergeCell ref="K489:O489"/>
    <mergeCell ref="K490:O490"/>
    <mergeCell ref="K491:O491"/>
    <mergeCell ref="K492:O492"/>
    <mergeCell ref="K493:O493"/>
    <mergeCell ref="K472:O472"/>
    <mergeCell ref="K473:O473"/>
    <mergeCell ref="K474:O474"/>
    <mergeCell ref="K466:O466"/>
    <mergeCell ref="K470:O470"/>
    <mergeCell ref="K471:O471"/>
    <mergeCell ref="A408:F408"/>
    <mergeCell ref="G12:H12"/>
    <mergeCell ref="G13:H13"/>
    <mergeCell ref="G14:H14"/>
    <mergeCell ref="G15:H15"/>
    <mergeCell ref="G16:J16"/>
    <mergeCell ref="C274:D274"/>
    <mergeCell ref="D48:H48"/>
    <mergeCell ref="C270:D270"/>
    <mergeCell ref="D46:H46"/>
    <mergeCell ref="G87:G88"/>
    <mergeCell ref="C269:D269"/>
    <mergeCell ref="C271:D271"/>
    <mergeCell ref="C284:D284"/>
    <mergeCell ref="C272:D272"/>
    <mergeCell ref="C273:D273"/>
    <mergeCell ref="K408:O408"/>
    <mergeCell ref="D312:E312"/>
    <mergeCell ref="A404:F404"/>
    <mergeCell ref="A405:F405"/>
    <mergeCell ref="A406:F406"/>
    <mergeCell ref="A487:F487"/>
    <mergeCell ref="A488:F488"/>
    <mergeCell ref="A464:F464"/>
    <mergeCell ref="A465:F465"/>
    <mergeCell ref="A466:F466"/>
    <mergeCell ref="A467:F467"/>
    <mergeCell ref="A468:F468"/>
    <mergeCell ref="A469:F469"/>
    <mergeCell ref="A470:F470"/>
    <mergeCell ref="A474:F474"/>
    <mergeCell ref="A475:F475"/>
    <mergeCell ref="A476:F476"/>
    <mergeCell ref="A477:F477"/>
    <mergeCell ref="A478:F478"/>
    <mergeCell ref="A432:F432"/>
    <mergeCell ref="A440:F440"/>
    <mergeCell ref="A445:F445"/>
    <mergeCell ref="A450:F450"/>
    <mergeCell ref="A423:F423"/>
    <mergeCell ref="A428:F428"/>
    <mergeCell ref="A437:F437"/>
    <mergeCell ref="A494:F494"/>
    <mergeCell ref="A495:F495"/>
    <mergeCell ref="A490:F490"/>
    <mergeCell ref="A491:F491"/>
    <mergeCell ref="A492:F492"/>
    <mergeCell ref="A489:F489"/>
    <mergeCell ref="A496:F496"/>
    <mergeCell ref="A480:F480"/>
    <mergeCell ref="A481:F481"/>
    <mergeCell ref="A482:F482"/>
    <mergeCell ref="A483:F483"/>
    <mergeCell ref="A484:F484"/>
    <mergeCell ref="A485:F485"/>
    <mergeCell ref="A486:F486"/>
    <mergeCell ref="A493:F493"/>
    <mergeCell ref="Q58:R58"/>
    <mergeCell ref="Q60:R60"/>
    <mergeCell ref="Q62:R62"/>
    <mergeCell ref="Q63:R63"/>
    <mergeCell ref="J125:K125"/>
    <mergeCell ref="A479:F479"/>
    <mergeCell ref="A398:F398"/>
    <mergeCell ref="A399:F399"/>
    <mergeCell ref="A400:F400"/>
    <mergeCell ref="A401:F401"/>
    <mergeCell ref="A402:F402"/>
    <mergeCell ref="A403:F403"/>
    <mergeCell ref="A409:F409"/>
    <mergeCell ref="A410:F410"/>
    <mergeCell ref="A463:F463"/>
    <mergeCell ref="K399:O399"/>
    <mergeCell ref="K403:O403"/>
    <mergeCell ref="A407:F407"/>
    <mergeCell ref="A471:F471"/>
    <mergeCell ref="A472:F472"/>
    <mergeCell ref="A473:F473"/>
    <mergeCell ref="A434:F434"/>
    <mergeCell ref="K423:O423"/>
    <mergeCell ref="A424:F424"/>
    <mergeCell ref="K424:O424"/>
    <mergeCell ref="A425:F425"/>
    <mergeCell ref="K425:O425"/>
    <mergeCell ref="A426:F426"/>
    <mergeCell ref="K426:O426"/>
    <mergeCell ref="A427:F427"/>
    <mergeCell ref="A418:F418"/>
    <mergeCell ref="K418:O418"/>
    <mergeCell ref="A419:F419"/>
    <mergeCell ref="K419:O419"/>
    <mergeCell ref="A420:F420"/>
    <mergeCell ref="K420:O420"/>
    <mergeCell ref="A421:F421"/>
    <mergeCell ref="K421:O421"/>
    <mergeCell ref="A422:F422"/>
    <mergeCell ref="K422:O422"/>
    <mergeCell ref="K427:O427"/>
    <mergeCell ref="K428:O428"/>
    <mergeCell ref="A429:F429"/>
    <mergeCell ref="K429:O429"/>
    <mergeCell ref="A430:F430"/>
    <mergeCell ref="K430:O430"/>
    <mergeCell ref="A431:F431"/>
    <mergeCell ref="K431:O431"/>
    <mergeCell ref="K432:O432"/>
    <mergeCell ref="A433:F433"/>
    <mergeCell ref="K433:O433"/>
    <mergeCell ref="K437:O437"/>
    <mergeCell ref="A438:F438"/>
    <mergeCell ref="K438:O438"/>
    <mergeCell ref="A439:F439"/>
    <mergeCell ref="K439:O439"/>
    <mergeCell ref="K434:O434"/>
    <mergeCell ref="A435:F435"/>
    <mergeCell ref="K435:O435"/>
    <mergeCell ref="A436:F436"/>
    <mergeCell ref="K436:O436"/>
    <mergeCell ref="K440:O440"/>
    <mergeCell ref="A441:F441"/>
    <mergeCell ref="K441:O441"/>
    <mergeCell ref="A442:F442"/>
    <mergeCell ref="K442:O442"/>
    <mergeCell ref="A443:F443"/>
    <mergeCell ref="K443:O443"/>
    <mergeCell ref="A444:F444"/>
    <mergeCell ref="K444:O444"/>
    <mergeCell ref="K450:O450"/>
    <mergeCell ref="A451:F451"/>
    <mergeCell ref="K451:O451"/>
    <mergeCell ref="K445:O445"/>
    <mergeCell ref="A446:F446"/>
    <mergeCell ref="K446:O446"/>
    <mergeCell ref="A447:F447"/>
    <mergeCell ref="K447:O447"/>
    <mergeCell ref="A448:F448"/>
    <mergeCell ref="K448:O448"/>
    <mergeCell ref="A449:F449"/>
    <mergeCell ref="K449:O449"/>
  </mergeCells>
  <phoneticPr fontId="0" type="noConversion"/>
  <dataValidations count="1">
    <dataValidation type="list" allowBlank="1" showInputMessage="1" showErrorMessage="1" promptTitle="HUOM!" prompt="Valitse pudotusvali-kosta haitta%" sqref="I394:I410 I463:I496 R463:R496 R394:R410 I418:I451 R418:R451" xr:uid="{00000000-0002-0000-0000-000000000000}">
      <formula1>$A$585:$A$635</formula1>
    </dataValidation>
  </dataValidations>
  <hyperlinks>
    <hyperlink ref="J69" location="Etusivu!A1" tooltip="Tästä pääset etusivulle" display="Etusivu" xr:uid="{00000000-0004-0000-0000-000000000000}"/>
    <hyperlink ref="J141" location="Etusivu!A1" tooltip="Tästä pääset etusivulle" display="Etusivu" xr:uid="{00000000-0004-0000-0000-000001000000}"/>
    <hyperlink ref="J176" location="Etusivu!A1" tooltip="Tästä pääset etusivulle" display="Etusivu" xr:uid="{00000000-0004-0000-0000-000002000000}"/>
    <hyperlink ref="J217" location="Etusivu!A1" tooltip="Tästä pääset etusivulle" display="Etusivu" xr:uid="{00000000-0004-0000-0000-000003000000}"/>
    <hyperlink ref="J260" location="Etusivu!A1" tooltip="Tästä pääset etusivulle" display="Etusivu" xr:uid="{00000000-0004-0000-0000-000004000000}"/>
    <hyperlink ref="J302" location="Etusivu!A1" tooltip="Tästä pääset etusivulle" display="Etusivu" xr:uid="{00000000-0004-0000-0000-000005000000}"/>
    <hyperlink ref="J345" location="Etusivu!A1" tooltip="Tästä pääset etusivulle" display="Etusivu" xr:uid="{00000000-0004-0000-0000-000006000000}"/>
    <hyperlink ref="M382" location="Etusivu!A1" tooltip="Tästä pääset etusivulle" display="Etusivu" xr:uid="{00000000-0004-0000-0000-000007000000}"/>
    <hyperlink ref="N502" location="Etusivu!A1" tooltip="Tästä pääset etusivulle" display="Etusivu" xr:uid="{00000000-0004-0000-0000-000009000000}"/>
    <hyperlink ref="M545" location="Etusivu!A1" tooltip="Tästä pääset etusivulle" display="Etusivu" xr:uid="{00000000-0004-0000-0000-00000A000000}"/>
    <hyperlink ref="J34" location="Etusivu!A1" tooltip="Tästä pääset etusivulle" display="Etusivu" xr:uid="{00000000-0004-0000-0000-00000B000000}"/>
    <hyperlink ref="A5:C5" location="Etusivu!A101" tooltip=" " display="Pyöreät kanavat ja osat" xr:uid="{00000000-0004-0000-0000-00000C000000}"/>
    <hyperlink ref="A5:D5" location="Etusivu!A101" tooltip=" " display="Pyöreät kanavat ja osat" xr:uid="{00000000-0004-0000-0000-00000E000000}"/>
    <hyperlink ref="A6:D6" location="Etusivu!A137" tooltip=" " display="Tarkastusluukku, ulkosäleiköt" xr:uid="{00000000-0004-0000-0000-00000F000000}"/>
    <hyperlink ref="A7:D7" location="Etusivu!A172" tooltip=" " display="Suorakaidekanavat" xr:uid="{00000000-0004-0000-0000-000010000000}"/>
    <hyperlink ref="A8:B8" location="Etusivu!A254" tooltip=" " display="Venttiilit" xr:uid="{00000000-0004-0000-0000-000011000000}"/>
    <hyperlink ref="A9:D9" location="Etusivu!A297" tooltip="  " display="Ilmanvaihtokoneet, koneosat " xr:uid="{00000000-0004-0000-0000-000012000000}"/>
    <hyperlink ref="A10:B10" location="Etusivu!A338" tooltip=" " display="Pienkojeet" xr:uid="{00000000-0004-0000-0000-000013000000}"/>
    <hyperlink ref="A11:D11" location="Etusivu!A338" tooltip=" " display="Lämminilmakojeet, jäähdytyspalkit" xr:uid="{00000000-0004-0000-0000-000014000000}"/>
    <hyperlink ref="A12:C12" location="Etusivu!A379" tooltip=" " display="Aksiaalipuhaltimet" xr:uid="{00000000-0004-0000-0000-000015000000}"/>
    <hyperlink ref="A13:D13" location="Etusivu!A380" tooltip=" " display="Huippuimuri, LV-Piippu" xr:uid="{00000000-0004-0000-0000-000016000000}"/>
    <hyperlink ref="A14:D14" location="Etusivu!A413" tooltip=" " display="Vaativuus, olosuhdelisät" xr:uid="{00000000-0004-0000-0000-000017000000}"/>
    <hyperlink ref="A14:C14" location="Etusivu!A412" tooltip=" " display="Vaativuus, olosuhdelisät" xr:uid="{00000000-0004-0000-0000-000018000000}"/>
    <hyperlink ref="A15:C15" location="Etusivu!A492" tooltip=" " display="Normitunteina sovitut" xr:uid="{00000000-0004-0000-0000-000019000000}"/>
    <hyperlink ref="A16:B16" location="Etusivu!A536" tooltip=" " display="Osien teko" xr:uid="{00000000-0004-0000-0000-00001A000000}"/>
    <hyperlink ref="G12:H12" location="Urakkatunnit!A1" tooltip=" " display="Urakkatunnit" xr:uid="{00000000-0004-0000-0000-00001B000000}"/>
    <hyperlink ref="G13:H13" location="Välipohjat!A1" tooltip=" " display="Välipohjat" xr:uid="{00000000-0004-0000-0000-00001C000000}"/>
    <hyperlink ref="G14:H14" location="Etumieslisä!A1" tooltip=" " display="Etumieslisä" xr:uid="{00000000-0004-0000-0000-00001D000000}"/>
    <hyperlink ref="G15" location="Jakolista!A1" tooltip=" " display="Jakolisä" xr:uid="{00000000-0004-0000-0000-00001E000000}"/>
    <hyperlink ref="G16:I16" location="'NHK muuttuu kesken urakan'!A1" tooltip=" " display="NHK-muuttuu kesken urakan" xr:uid="{00000000-0004-0000-0000-00001F000000}"/>
    <hyperlink ref="J108" location="Etusivu!A1" tooltip="Tästä pääset etusivulle" display="Etusivu" xr:uid="{00000000-0004-0000-0000-000020000000}"/>
    <hyperlink ref="A11" location="Etusivu!A338" tooltip=" " display="Kiertoilmakojeet, palkit ja paneelit" xr:uid="{EB86D47E-D0FA-481E-8C88-7B082C9E50F1}"/>
    <hyperlink ref="A4:C4" location="Etusivu!A65" display="Urakkapöytäkirja" xr:uid="{00000000-0004-0000-0000-00000D000000}"/>
    <hyperlink ref="A4:E4" location="Etusivu!A65" display="Urakkapöytäkirja" xr:uid="{C8C75764-5E41-456D-A37E-9FAFF811B4FD}"/>
    <hyperlink ref="A5:E5" location="Etusivu!A101" tooltip=" " display="Pyöreät kanavat ja osat" xr:uid="{A987380C-90E0-4999-88FF-AB0785DD87AE}"/>
    <hyperlink ref="A6:E6" location="Etusivu!A137" tooltip=" " display="Tarkastusluukku, ulkosäleiköt" xr:uid="{B75B0B78-9079-44B9-A578-51A7669ECAD0}"/>
    <hyperlink ref="A7:E7" location="Etusivu!A172" tooltip=" " display="Suorakaidekanavat" xr:uid="{607E57F6-A174-40AD-A15D-02D368DFF991}"/>
    <hyperlink ref="A8:E8" location="Etusivu!A254" tooltip=" " display="Venttiilit" xr:uid="{7875FDB5-CBB6-4820-91FB-9F64EDE80DC3}"/>
    <hyperlink ref="A9:E9" location="Etusivu!A297" tooltip="  " display="Ilmanvaihtokoneet, koneosat " xr:uid="{46D7059F-D15F-48C3-BFBD-FCC99A111554}"/>
    <hyperlink ref="A10:E10" location="Etusivu!A338" tooltip=" " display="Pienkojeet" xr:uid="{BF11A265-3BA6-4141-A1F1-6574E2B9392D}"/>
    <hyperlink ref="A11:E11" location="Etusivu!A338" tooltip=" " display="Kiertoilmakojeet, palkit ja paneelit" xr:uid="{7B11EB7A-8317-499D-8F85-7605B68E3EAB}"/>
    <hyperlink ref="A12:E12" location="Etusivu!A379" tooltip=" " display="Aksiaalipuhaltimet" xr:uid="{AC7E765B-69E6-4214-A346-3248C38ACEFF}"/>
    <hyperlink ref="A13:E13" location="Etusivu!A380" tooltip=" " display="Huippuimuri, LV-Piippu" xr:uid="{349CC0ED-C82E-4D78-B26A-292F128475D6}"/>
    <hyperlink ref="A14:E14" location="Etusivu!A412" tooltip=" " display="Vaativuus, olosuhdelisät" xr:uid="{6EE9F3F3-E6D4-46C9-ADA4-FE73ACAC5D54}"/>
    <hyperlink ref="A15:E15" location="Etusivu!A492" tooltip=" " display="Normitunteina sovitut" xr:uid="{EBC2601F-E0B4-44BA-A0E0-E44FC9F3B455}"/>
    <hyperlink ref="A16:E16" location="Etusivu!A536" tooltip=" " display="Osien teko" xr:uid="{22E43387-BF41-4C74-97CF-E3F3715D1D06}"/>
    <hyperlink ref="J461" location="Etusivu!A1" tooltip="Tästä pääset etusivulle" display="Etusivu" xr:uid="{00000000-0004-0000-0000-000008000000}"/>
    <hyperlink ref="J416" location="Etusivu!A1" tooltip="Tästä pääset etusivulle" display="Etusivu" xr:uid="{79D99BDF-EB4B-4B5C-B714-D2D06B0993E3}"/>
  </hyperlinks>
  <pageMargins left="0.35" right="0.23" top="0.38" bottom="0.4" header="0.35" footer="0.36"/>
  <pageSetup paperSize="9" orientation="landscape" horizontalDpi="300" verticalDpi="300" r:id="rId1"/>
  <headerFooter alignWithMargins="0">
    <oddHeader xml:space="preserve">&amp;C
</oddHeader>
  </headerFooter>
  <ignoredErrors>
    <ignoredError sqref="K330 H376:H377 H375 H37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7"/>
  <sheetViews>
    <sheetView zoomScale="130" zoomScaleNormal="130" workbookViewId="0">
      <selection activeCell="A2" sqref="A2"/>
    </sheetView>
  </sheetViews>
  <sheetFormatPr defaultColWidth="9.1796875" defaultRowHeight="12.5" x14ac:dyDescent="0.25"/>
  <cols>
    <col min="1" max="1" width="9.1796875" style="109"/>
    <col min="2" max="2" width="7.7265625" style="109" customWidth="1"/>
    <col min="3" max="3" width="9.1796875" style="109"/>
    <col min="4" max="4" width="9.1796875" style="109" customWidth="1"/>
    <col min="5" max="11" width="9.1796875" style="109"/>
    <col min="12" max="12" width="10.54296875" style="109" customWidth="1"/>
    <col min="13" max="16384" width="9.1796875" style="109"/>
  </cols>
  <sheetData>
    <row r="1" spans="1:13" ht="13" x14ac:dyDescent="0.3">
      <c r="A1" s="242"/>
      <c r="F1" s="162"/>
      <c r="G1" s="162"/>
      <c r="H1" s="162"/>
      <c r="I1" s="162"/>
    </row>
    <row r="2" spans="1:13" x14ac:dyDescent="0.25">
      <c r="A2" s="326" t="s">
        <v>234</v>
      </c>
      <c r="E2" s="243"/>
    </row>
    <row r="3" spans="1:13" x14ac:dyDescent="0.25">
      <c r="E3" s="243"/>
    </row>
    <row r="4" spans="1:13" ht="15.5" x14ac:dyDescent="0.35">
      <c r="E4" s="243"/>
      <c r="F4" s="158"/>
      <c r="G4" s="779" t="s">
        <v>334</v>
      </c>
      <c r="H4" s="779"/>
    </row>
    <row r="5" spans="1:13" x14ac:dyDescent="0.25">
      <c r="D5" s="109" t="s">
        <v>335</v>
      </c>
    </row>
    <row r="6" spans="1:13" ht="13" thickBot="1" x14ac:dyDescent="0.3">
      <c r="D6" s="253"/>
      <c r="E6" s="254"/>
      <c r="F6" s="255"/>
      <c r="G6" s="255"/>
      <c r="H6" s="255"/>
      <c r="I6" s="255"/>
      <c r="J6" s="255"/>
      <c r="K6" s="255"/>
      <c r="L6" s="255"/>
      <c r="M6" s="158" t="s">
        <v>316</v>
      </c>
    </row>
    <row r="7" spans="1:13" ht="13" thickBot="1" x14ac:dyDescent="0.3">
      <c r="A7" s="777">
        <f>Urakkatunnit!A10</f>
        <v>0</v>
      </c>
      <c r="B7" s="778"/>
      <c r="C7" s="778"/>
      <c r="D7" s="256"/>
      <c r="E7" s="256"/>
      <c r="F7" s="256"/>
      <c r="G7" s="256"/>
      <c r="H7" s="256"/>
      <c r="I7" s="256"/>
      <c r="J7" s="256"/>
      <c r="K7" s="256"/>
      <c r="L7" s="256"/>
      <c r="M7" s="244">
        <f>SUM(D7:L7)</f>
        <v>0</v>
      </c>
    </row>
    <row r="8" spans="1:13" ht="13" thickBot="1" x14ac:dyDescent="0.3">
      <c r="A8" s="777">
        <f>Urakkatunnit!A11</f>
        <v>0</v>
      </c>
      <c r="B8" s="778"/>
      <c r="C8" s="778"/>
      <c r="D8" s="256"/>
      <c r="E8" s="256"/>
      <c r="F8" s="256"/>
      <c r="G8" s="256"/>
      <c r="H8" s="256"/>
      <c r="I8" s="256"/>
      <c r="J8" s="256"/>
      <c r="K8" s="256"/>
      <c r="L8" s="256"/>
      <c r="M8" s="245">
        <f>SUM(D8:L8)</f>
        <v>0</v>
      </c>
    </row>
    <row r="9" spans="1:13" ht="13" thickBot="1" x14ac:dyDescent="0.3">
      <c r="A9" s="777">
        <f>Urakkatunnit!A12</f>
        <v>0</v>
      </c>
      <c r="B9" s="778"/>
      <c r="C9" s="778"/>
      <c r="D9" s="256"/>
      <c r="E9" s="256"/>
      <c r="F9" s="256"/>
      <c r="G9" s="256"/>
      <c r="H9" s="256"/>
      <c r="I9" s="256"/>
      <c r="J9" s="256"/>
      <c r="K9" s="256"/>
      <c r="L9" s="256"/>
      <c r="M9" s="244">
        <f t="shared" ref="M9:M21" si="0">SUM(D9:L9)</f>
        <v>0</v>
      </c>
    </row>
    <row r="10" spans="1:13" ht="13" thickBot="1" x14ac:dyDescent="0.3">
      <c r="A10" s="777">
        <f>Urakkatunnit!A13</f>
        <v>0</v>
      </c>
      <c r="B10" s="778"/>
      <c r="C10" s="778"/>
      <c r="D10" s="256"/>
      <c r="E10" s="256"/>
      <c r="F10" s="256"/>
      <c r="G10" s="256"/>
      <c r="H10" s="256"/>
      <c r="I10" s="256"/>
      <c r="J10" s="256"/>
      <c r="K10" s="256"/>
      <c r="L10" s="256"/>
      <c r="M10" s="245">
        <f t="shared" si="0"/>
        <v>0</v>
      </c>
    </row>
    <row r="11" spans="1:13" ht="13" thickBot="1" x14ac:dyDescent="0.3">
      <c r="A11" s="777">
        <f>Urakkatunnit!A14</f>
        <v>0</v>
      </c>
      <c r="B11" s="778"/>
      <c r="C11" s="778"/>
      <c r="D11" s="256"/>
      <c r="E11" s="256"/>
      <c r="F11" s="256"/>
      <c r="G11" s="256"/>
      <c r="H11" s="256"/>
      <c r="I11" s="256"/>
      <c r="J11" s="256"/>
      <c r="K11" s="256"/>
      <c r="L11" s="256"/>
      <c r="M11" s="244">
        <f t="shared" si="0"/>
        <v>0</v>
      </c>
    </row>
    <row r="12" spans="1:13" ht="13" thickBot="1" x14ac:dyDescent="0.3">
      <c r="A12" s="777">
        <f>Urakkatunnit!A15</f>
        <v>0</v>
      </c>
      <c r="B12" s="778"/>
      <c r="C12" s="778"/>
      <c r="D12" s="256"/>
      <c r="E12" s="256"/>
      <c r="F12" s="256"/>
      <c r="G12" s="256"/>
      <c r="H12" s="256"/>
      <c r="I12" s="256"/>
      <c r="J12" s="256"/>
      <c r="K12" s="256"/>
      <c r="L12" s="256"/>
      <c r="M12" s="245">
        <f t="shared" si="0"/>
        <v>0</v>
      </c>
    </row>
    <row r="13" spans="1:13" ht="13" thickBot="1" x14ac:dyDescent="0.3">
      <c r="A13" s="777">
        <f>Urakkatunnit!A16</f>
        <v>0</v>
      </c>
      <c r="B13" s="778"/>
      <c r="C13" s="778"/>
      <c r="D13" s="256"/>
      <c r="E13" s="256"/>
      <c r="F13" s="256"/>
      <c r="G13" s="256"/>
      <c r="H13" s="256"/>
      <c r="I13" s="256"/>
      <c r="J13" s="256"/>
      <c r="K13" s="256"/>
      <c r="L13" s="256"/>
      <c r="M13" s="244">
        <f t="shared" si="0"/>
        <v>0</v>
      </c>
    </row>
    <row r="14" spans="1:13" ht="13" thickBot="1" x14ac:dyDescent="0.3">
      <c r="A14" s="777">
        <f>Urakkatunnit!A17</f>
        <v>0</v>
      </c>
      <c r="B14" s="778"/>
      <c r="C14" s="778"/>
      <c r="D14" s="256"/>
      <c r="E14" s="256"/>
      <c r="F14" s="256"/>
      <c r="G14" s="256"/>
      <c r="H14" s="256"/>
      <c r="I14" s="256"/>
      <c r="J14" s="256"/>
      <c r="K14" s="256"/>
      <c r="L14" s="256"/>
      <c r="M14" s="245">
        <f t="shared" si="0"/>
        <v>0</v>
      </c>
    </row>
    <row r="15" spans="1:13" ht="13" thickBot="1" x14ac:dyDescent="0.3">
      <c r="A15" s="777">
        <f>Urakkatunnit!A18</f>
        <v>0</v>
      </c>
      <c r="B15" s="778"/>
      <c r="C15" s="778"/>
      <c r="D15" s="256"/>
      <c r="E15" s="256"/>
      <c r="F15" s="256"/>
      <c r="G15" s="256"/>
      <c r="H15" s="256"/>
      <c r="I15" s="256"/>
      <c r="J15" s="256"/>
      <c r="K15" s="256"/>
      <c r="L15" s="256"/>
      <c r="M15" s="244">
        <f t="shared" si="0"/>
        <v>0</v>
      </c>
    </row>
    <row r="16" spans="1:13" ht="13" thickBot="1" x14ac:dyDescent="0.3">
      <c r="A16" s="777">
        <f>Urakkatunnit!A19</f>
        <v>0</v>
      </c>
      <c r="B16" s="778"/>
      <c r="C16" s="778"/>
      <c r="D16" s="256"/>
      <c r="E16" s="256"/>
      <c r="F16" s="256"/>
      <c r="G16" s="256"/>
      <c r="H16" s="256"/>
      <c r="I16" s="256"/>
      <c r="J16" s="256"/>
      <c r="K16" s="256"/>
      <c r="L16" s="256"/>
      <c r="M16" s="245">
        <f t="shared" si="0"/>
        <v>0</v>
      </c>
    </row>
    <row r="17" spans="1:14" ht="13" thickBot="1" x14ac:dyDescent="0.3">
      <c r="A17" s="777">
        <f>Urakkatunnit!A20</f>
        <v>0</v>
      </c>
      <c r="B17" s="778"/>
      <c r="C17" s="778"/>
      <c r="D17" s="256"/>
      <c r="E17" s="256"/>
      <c r="F17" s="256"/>
      <c r="G17" s="256"/>
      <c r="H17" s="256"/>
      <c r="I17" s="256"/>
      <c r="J17" s="256"/>
      <c r="K17" s="256"/>
      <c r="L17" s="256"/>
      <c r="M17" s="244">
        <f t="shared" si="0"/>
        <v>0</v>
      </c>
    </row>
    <row r="18" spans="1:14" ht="13" thickBot="1" x14ac:dyDescent="0.3">
      <c r="A18" s="777">
        <f>Urakkatunnit!A21</f>
        <v>0</v>
      </c>
      <c r="B18" s="778"/>
      <c r="C18" s="778"/>
      <c r="D18" s="256"/>
      <c r="E18" s="256"/>
      <c r="F18" s="256"/>
      <c r="G18" s="256"/>
      <c r="H18" s="256"/>
      <c r="I18" s="256"/>
      <c r="J18" s="256"/>
      <c r="K18" s="256"/>
      <c r="L18" s="256"/>
      <c r="M18" s="245">
        <f t="shared" si="0"/>
        <v>0</v>
      </c>
    </row>
    <row r="19" spans="1:14" ht="13" thickBot="1" x14ac:dyDescent="0.3">
      <c r="A19" s="777">
        <f>Urakkatunnit!A22</f>
        <v>0</v>
      </c>
      <c r="B19" s="778"/>
      <c r="C19" s="778"/>
      <c r="D19" s="256"/>
      <c r="E19" s="256"/>
      <c r="F19" s="256"/>
      <c r="G19" s="256"/>
      <c r="H19" s="256"/>
      <c r="I19" s="256"/>
      <c r="J19" s="256"/>
      <c r="K19" s="256"/>
      <c r="L19" s="256"/>
      <c r="M19" s="244">
        <f t="shared" si="0"/>
        <v>0</v>
      </c>
    </row>
    <row r="20" spans="1:14" ht="13" thickBot="1" x14ac:dyDescent="0.3">
      <c r="A20" s="777">
        <f>Urakkatunnit!A23</f>
        <v>0</v>
      </c>
      <c r="B20" s="778"/>
      <c r="C20" s="778"/>
      <c r="D20" s="256"/>
      <c r="E20" s="256"/>
      <c r="F20" s="256"/>
      <c r="G20" s="256"/>
      <c r="H20" s="256"/>
      <c r="I20" s="256"/>
      <c r="J20" s="256"/>
      <c r="K20" s="256"/>
      <c r="L20" s="256"/>
      <c r="M20" s="245">
        <f t="shared" si="0"/>
        <v>0</v>
      </c>
    </row>
    <row r="21" spans="1:14" ht="13" thickBot="1" x14ac:dyDescent="0.3">
      <c r="A21" s="777">
        <f>Urakkatunnit!A24</f>
        <v>0</v>
      </c>
      <c r="B21" s="778"/>
      <c r="C21" s="778"/>
      <c r="D21" s="256"/>
      <c r="E21" s="256"/>
      <c r="F21" s="256"/>
      <c r="G21" s="256"/>
      <c r="H21" s="256"/>
      <c r="I21" s="256"/>
      <c r="J21" s="256"/>
      <c r="K21" s="256"/>
      <c r="L21" s="256"/>
      <c r="M21" s="244">
        <f t="shared" si="0"/>
        <v>0</v>
      </c>
    </row>
    <row r="22" spans="1:14" ht="13" thickBot="1" x14ac:dyDescent="0.3">
      <c r="A22" s="780">
        <f>Urakkatunnit!A26</f>
        <v>0</v>
      </c>
      <c r="B22" s="781"/>
      <c r="C22" s="782"/>
      <c r="D22" s="256"/>
      <c r="E22" s="256"/>
      <c r="F22" s="256"/>
      <c r="G22" s="256"/>
      <c r="H22" s="256"/>
      <c r="I22" s="256"/>
      <c r="J22" s="256"/>
      <c r="K22" s="256"/>
      <c r="L22" s="256"/>
      <c r="M22" s="474">
        <f>SUM(D22:L22)</f>
        <v>0</v>
      </c>
    </row>
    <row r="23" spans="1:14" ht="13" thickBot="1" x14ac:dyDescent="0.3">
      <c r="A23" s="780">
        <f>Urakkatunnit!A27</f>
        <v>0</v>
      </c>
      <c r="B23" s="781"/>
      <c r="C23" s="782"/>
      <c r="D23" s="256"/>
      <c r="E23" s="256"/>
      <c r="F23" s="256"/>
      <c r="G23" s="256"/>
      <c r="H23" s="256"/>
      <c r="I23" s="256"/>
      <c r="J23" s="256"/>
      <c r="K23" s="256"/>
      <c r="L23" s="256"/>
      <c r="M23" s="474">
        <f>SUM(D23:L23)</f>
        <v>0</v>
      </c>
    </row>
    <row r="24" spans="1:14" ht="13" thickBot="1" x14ac:dyDescent="0.3">
      <c r="A24" s="780">
        <f>Urakkatunnit!A28</f>
        <v>0</v>
      </c>
      <c r="B24" s="781"/>
      <c r="C24" s="782"/>
      <c r="D24" s="256"/>
      <c r="E24" s="256"/>
      <c r="F24" s="256"/>
      <c r="G24" s="256"/>
      <c r="H24" s="256"/>
      <c r="I24" s="256"/>
      <c r="J24" s="256"/>
      <c r="K24" s="256"/>
      <c r="L24" s="256"/>
      <c r="M24" s="474">
        <f>SUM(D24:L24)</f>
        <v>0</v>
      </c>
    </row>
    <row r="25" spans="1:14" ht="13" thickBot="1" x14ac:dyDescent="0.3">
      <c r="A25" s="780">
        <f>Urakkatunnit!A29</f>
        <v>0</v>
      </c>
      <c r="B25" s="781"/>
      <c r="C25" s="782"/>
      <c r="D25" s="256"/>
      <c r="E25" s="256"/>
      <c r="F25" s="256"/>
      <c r="G25" s="256"/>
      <c r="H25" s="256"/>
      <c r="I25" s="256"/>
      <c r="J25" s="256"/>
      <c r="K25" s="256"/>
      <c r="L25" s="256"/>
      <c r="M25" s="474">
        <f>SUM(D25:L25)</f>
        <v>0</v>
      </c>
    </row>
    <row r="26" spans="1:14" ht="13" thickBot="1" x14ac:dyDescent="0.3">
      <c r="C26" s="246" t="s">
        <v>336</v>
      </c>
      <c r="D26" s="247">
        <f t="shared" ref="D26:L26" si="1">SUM(D7:D25)</f>
        <v>0</v>
      </c>
      <c r="E26" s="248">
        <f t="shared" si="1"/>
        <v>0</v>
      </c>
      <c r="F26" s="249">
        <f t="shared" si="1"/>
        <v>0</v>
      </c>
      <c r="G26" s="249">
        <f t="shared" si="1"/>
        <v>0</v>
      </c>
      <c r="H26" s="249">
        <f t="shared" si="1"/>
        <v>0</v>
      </c>
      <c r="I26" s="249">
        <f t="shared" si="1"/>
        <v>0</v>
      </c>
      <c r="J26" s="249">
        <f t="shared" si="1"/>
        <v>0</v>
      </c>
      <c r="K26" s="249">
        <f t="shared" si="1"/>
        <v>0</v>
      </c>
      <c r="L26" s="250">
        <f t="shared" si="1"/>
        <v>0</v>
      </c>
      <c r="M26" s="473"/>
    </row>
    <row r="27" spans="1:14" ht="13" thickBot="1" x14ac:dyDescent="0.3">
      <c r="L27" s="251" t="s">
        <v>337</v>
      </c>
      <c r="M27" s="252">
        <f>SUM(D26:L26)</f>
        <v>0</v>
      </c>
      <c r="N27" s="109" t="s">
        <v>318</v>
      </c>
    </row>
  </sheetData>
  <sheetProtection password="C75E" sheet="1"/>
  <mergeCells count="20">
    <mergeCell ref="A22:C22"/>
    <mergeCell ref="A20:C20"/>
    <mergeCell ref="A23:C23"/>
    <mergeCell ref="A24:C24"/>
    <mergeCell ref="A25:C25"/>
    <mergeCell ref="A21:C21"/>
    <mergeCell ref="A17:C17"/>
    <mergeCell ref="A18:C18"/>
    <mergeCell ref="A19:C19"/>
    <mergeCell ref="G4:H4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</mergeCells>
  <hyperlinks>
    <hyperlink ref="A2" location="Etusivu!A1" tooltip="Tästä pääset etusivulle" display="Etusivu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4"/>
  <sheetViews>
    <sheetView zoomScale="130" zoomScaleNormal="130" workbookViewId="0"/>
  </sheetViews>
  <sheetFormatPr defaultColWidth="9.1796875" defaultRowHeight="12.5" x14ac:dyDescent="0.25"/>
  <cols>
    <col min="1" max="6" width="9.1796875" style="109"/>
    <col min="7" max="7" width="11.1796875" style="109" bestFit="1" customWidth="1"/>
    <col min="8" max="9" width="9.1796875" style="109"/>
    <col min="10" max="10" width="10.81640625" style="109" bestFit="1" customWidth="1"/>
    <col min="11" max="16384" width="9.1796875" style="109"/>
  </cols>
  <sheetData>
    <row r="1" spans="1:11" ht="15.5" x14ac:dyDescent="0.35">
      <c r="A1" s="326" t="s">
        <v>234</v>
      </c>
      <c r="D1" s="138" t="s">
        <v>321</v>
      </c>
      <c r="E1" s="257"/>
      <c r="F1" s="257"/>
      <c r="H1" s="257"/>
      <c r="I1" s="257"/>
      <c r="J1" s="257"/>
      <c r="K1" s="257"/>
    </row>
    <row r="2" spans="1:11" ht="16" thickBot="1" x14ac:dyDescent="0.4">
      <c r="A2" s="257"/>
      <c r="B2" s="257"/>
      <c r="C2" s="257"/>
      <c r="D2" s="257"/>
      <c r="E2" s="257"/>
      <c r="F2" s="257"/>
      <c r="G2" s="257"/>
      <c r="H2" s="257"/>
      <c r="I2" s="257"/>
      <c r="J2" s="257"/>
      <c r="K2" s="257"/>
    </row>
    <row r="3" spans="1:11" ht="16" thickBot="1" x14ac:dyDescent="0.4">
      <c r="A3" s="375">
        <f>SUM(Etusivu!Q63)</f>
        <v>0</v>
      </c>
      <c r="B3" s="257" t="s">
        <v>0</v>
      </c>
      <c r="C3" s="257"/>
      <c r="D3" s="257"/>
      <c r="E3" s="257"/>
      <c r="F3" s="257"/>
      <c r="G3" s="257"/>
      <c r="H3" s="257"/>
      <c r="I3" s="257"/>
      <c r="J3" s="257"/>
      <c r="K3" s="257"/>
    </row>
    <row r="4" spans="1:11" ht="15.5" x14ac:dyDescent="0.35">
      <c r="A4" s="258"/>
      <c r="B4" s="257"/>
      <c r="C4" s="257"/>
      <c r="D4" s="257"/>
      <c r="E4" s="257"/>
      <c r="F4" s="257"/>
      <c r="G4" s="257"/>
      <c r="I4" s="138"/>
      <c r="J4" s="138"/>
      <c r="K4" s="138"/>
    </row>
    <row r="5" spans="1:11" ht="15.5" x14ac:dyDescent="0.35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1" ht="15.5" x14ac:dyDescent="0.35">
      <c r="A6" s="257"/>
      <c r="B6" s="257" t="s">
        <v>309</v>
      </c>
      <c r="C6" s="376">
        <f>SUM(Urakkatunnit!D4)</f>
        <v>0</v>
      </c>
      <c r="D6" s="257" t="s">
        <v>318</v>
      </c>
      <c r="E6" s="259">
        <f>SUM(Urakkatunnit!B35)</f>
        <v>0</v>
      </c>
      <c r="F6" s="257" t="s">
        <v>322</v>
      </c>
      <c r="G6" s="257"/>
      <c r="H6" s="257"/>
      <c r="I6" s="257"/>
      <c r="J6" s="257"/>
      <c r="K6" s="257"/>
    </row>
    <row r="7" spans="1:11" ht="15.5" x14ac:dyDescent="0.35">
      <c r="A7" s="257"/>
      <c r="B7" s="257" t="s">
        <v>310</v>
      </c>
      <c r="C7" s="376">
        <f>SUM(Urakkatunnit!D5)</f>
        <v>0</v>
      </c>
      <c r="D7" s="257" t="s">
        <v>318</v>
      </c>
      <c r="E7" s="259">
        <f>SUM(Urakkatunnit!D35)</f>
        <v>0</v>
      </c>
      <c r="F7" s="257" t="s">
        <v>322</v>
      </c>
      <c r="G7" s="257"/>
      <c r="H7" s="257"/>
      <c r="I7" s="257"/>
      <c r="J7" s="257"/>
      <c r="K7" s="257"/>
    </row>
    <row r="8" spans="1:11" ht="15.5" x14ac:dyDescent="0.35">
      <c r="A8" s="257"/>
      <c r="B8" s="257" t="s">
        <v>311</v>
      </c>
      <c r="C8" s="376">
        <f>SUM(Urakkatunnit!D6)</f>
        <v>0</v>
      </c>
      <c r="D8" s="257" t="s">
        <v>318</v>
      </c>
      <c r="E8" s="259">
        <f>SUM(Urakkatunnit!F35)</f>
        <v>0</v>
      </c>
      <c r="F8" s="257" t="s">
        <v>322</v>
      </c>
      <c r="G8" s="257"/>
      <c r="H8" s="257"/>
      <c r="I8" s="257"/>
      <c r="J8" s="257"/>
      <c r="K8" s="257"/>
    </row>
    <row r="9" spans="1:11" ht="15.5" x14ac:dyDescent="0.35">
      <c r="A9" s="257"/>
      <c r="B9" s="257"/>
      <c r="C9" s="257"/>
      <c r="D9" s="257"/>
      <c r="E9" s="257">
        <f>SUM(E6:E8)</f>
        <v>0</v>
      </c>
      <c r="F9" s="257" t="s">
        <v>322</v>
      </c>
      <c r="G9" s="257"/>
      <c r="H9" s="257"/>
      <c r="I9" s="257"/>
      <c r="J9" s="257"/>
      <c r="K9" s="257"/>
    </row>
    <row r="10" spans="1:11" ht="15.5" x14ac:dyDescent="0.35">
      <c r="A10" s="257"/>
      <c r="B10" s="257"/>
      <c r="C10" s="257"/>
      <c r="D10" s="257"/>
      <c r="F10" s="257"/>
      <c r="G10" s="257"/>
      <c r="H10" s="257"/>
      <c r="I10" s="257"/>
      <c r="J10" s="257"/>
      <c r="K10" s="257"/>
    </row>
    <row r="11" spans="1:11" ht="16" thickBot="1" x14ac:dyDescent="0.4">
      <c r="A11" s="257"/>
      <c r="B11" s="260">
        <f>E6</f>
        <v>0</v>
      </c>
      <c r="C11" s="261" t="s">
        <v>323</v>
      </c>
      <c r="D11" s="260">
        <v>100</v>
      </c>
      <c r="E11" s="262" t="s">
        <v>324</v>
      </c>
      <c r="F11" s="263" t="e">
        <f>B11*D11/C12</f>
        <v>#DIV/0!</v>
      </c>
      <c r="G11" s="264" t="s">
        <v>325</v>
      </c>
      <c r="H11" s="257"/>
      <c r="I11" s="257"/>
      <c r="J11" s="257"/>
      <c r="K11" s="257"/>
    </row>
    <row r="12" spans="1:11" ht="15.5" x14ac:dyDescent="0.35">
      <c r="A12" s="257"/>
      <c r="B12" s="257"/>
      <c r="C12" s="257">
        <f>E9</f>
        <v>0</v>
      </c>
      <c r="D12" s="257"/>
      <c r="E12" s="257"/>
      <c r="F12" s="257"/>
      <c r="G12" s="257"/>
      <c r="H12" s="257"/>
      <c r="I12" s="257"/>
      <c r="J12" s="257"/>
      <c r="K12" s="257"/>
    </row>
    <row r="13" spans="1:11" ht="15.5" x14ac:dyDescent="0.35">
      <c r="A13" s="257"/>
      <c r="B13" s="257"/>
      <c r="C13" s="257"/>
      <c r="D13" s="257"/>
      <c r="E13" s="257"/>
      <c r="F13" s="257"/>
      <c r="G13" s="257"/>
      <c r="H13" s="257"/>
      <c r="I13" s="257"/>
      <c r="J13" s="257"/>
      <c r="K13" s="257"/>
    </row>
    <row r="14" spans="1:11" ht="16" thickBot="1" x14ac:dyDescent="0.4">
      <c r="A14" s="257"/>
      <c r="B14" s="260">
        <f>E7</f>
        <v>0</v>
      </c>
      <c r="C14" s="261" t="s">
        <v>323</v>
      </c>
      <c r="D14" s="260">
        <v>100</v>
      </c>
      <c r="E14" s="262" t="s">
        <v>324</v>
      </c>
      <c r="F14" s="263" t="e">
        <f>B14*D14/C15</f>
        <v>#DIV/0!</v>
      </c>
      <c r="G14" s="257" t="s">
        <v>325</v>
      </c>
      <c r="H14" s="257"/>
      <c r="I14" s="257"/>
      <c r="J14" s="257"/>
      <c r="K14" s="257"/>
    </row>
    <row r="15" spans="1:11" ht="15.5" x14ac:dyDescent="0.35">
      <c r="A15" s="257"/>
      <c r="B15" s="257"/>
      <c r="C15" s="257">
        <f>E9</f>
        <v>0</v>
      </c>
      <c r="D15" s="257"/>
      <c r="E15" s="257"/>
      <c r="F15" s="257"/>
      <c r="G15" s="257"/>
      <c r="H15" s="257"/>
      <c r="I15" s="257"/>
      <c r="J15" s="257"/>
      <c r="K15" s="257"/>
    </row>
    <row r="16" spans="1:11" ht="15.5" x14ac:dyDescent="0.35">
      <c r="A16" s="257"/>
      <c r="B16" s="257"/>
      <c r="C16" s="257"/>
      <c r="D16" s="257"/>
      <c r="E16" s="257"/>
      <c r="F16" s="257"/>
      <c r="G16" s="257"/>
      <c r="H16" s="257"/>
      <c r="I16" s="257"/>
      <c r="J16" s="257"/>
      <c r="K16" s="257"/>
    </row>
    <row r="17" spans="1:11" ht="16" thickBot="1" x14ac:dyDescent="0.4">
      <c r="B17" s="260">
        <f>E8</f>
        <v>0</v>
      </c>
      <c r="C17" s="261" t="s">
        <v>323</v>
      </c>
      <c r="D17" s="260">
        <v>100</v>
      </c>
      <c r="E17" s="262" t="s">
        <v>324</v>
      </c>
      <c r="F17" s="263" t="e">
        <f>B17*D17/C18</f>
        <v>#DIV/0!</v>
      </c>
      <c r="G17" s="257" t="s">
        <v>325</v>
      </c>
    </row>
    <row r="18" spans="1:11" ht="15.5" x14ac:dyDescent="0.35">
      <c r="B18" s="257"/>
      <c r="C18" s="257">
        <f>E9</f>
        <v>0</v>
      </c>
      <c r="D18" s="257"/>
      <c r="E18" s="257"/>
      <c r="F18" s="257"/>
      <c r="G18" s="257"/>
    </row>
    <row r="21" spans="1:11" x14ac:dyDescent="0.25">
      <c r="A21" s="148">
        <f>A3</f>
        <v>0</v>
      </c>
      <c r="B21" s="148" t="s">
        <v>326</v>
      </c>
      <c r="C21" s="265" t="e">
        <f>F11</f>
        <v>#DIV/0!</v>
      </c>
      <c r="D21" s="148" t="s">
        <v>325</v>
      </c>
      <c r="E21" s="243" t="s">
        <v>324</v>
      </c>
      <c r="F21" s="148" t="e">
        <f>A21*C21/100</f>
        <v>#DIV/0!</v>
      </c>
      <c r="G21" s="148" t="s">
        <v>326</v>
      </c>
      <c r="H21" s="265">
        <f>$C$6</f>
        <v>0</v>
      </c>
      <c r="I21" s="148" t="s">
        <v>327</v>
      </c>
      <c r="J21" s="265" t="e">
        <f>F21*H21</f>
        <v>#DIV/0!</v>
      </c>
      <c r="K21" s="148" t="s">
        <v>318</v>
      </c>
    </row>
    <row r="22" spans="1:11" x14ac:dyDescent="0.25">
      <c r="A22" s="148"/>
      <c r="B22" s="148"/>
      <c r="C22" s="148"/>
      <c r="D22" s="148"/>
      <c r="E22" s="148"/>
      <c r="F22" s="148"/>
      <c r="G22" s="148"/>
      <c r="H22" s="148"/>
      <c r="I22" s="148"/>
      <c r="J22" s="265"/>
      <c r="K22" s="148"/>
    </row>
    <row r="23" spans="1:11" x14ac:dyDescent="0.25">
      <c r="A23" s="148">
        <f>A3</f>
        <v>0</v>
      </c>
      <c r="B23" s="148" t="s">
        <v>326</v>
      </c>
      <c r="C23" s="265" t="e">
        <f>F14</f>
        <v>#DIV/0!</v>
      </c>
      <c r="D23" s="148" t="s">
        <v>325</v>
      </c>
      <c r="E23" s="243" t="s">
        <v>324</v>
      </c>
      <c r="F23" s="148" t="e">
        <f>A23*C23/100</f>
        <v>#DIV/0!</v>
      </c>
      <c r="G23" s="148" t="s">
        <v>326</v>
      </c>
      <c r="H23" s="265">
        <f>$C$7</f>
        <v>0</v>
      </c>
      <c r="I23" s="148" t="s">
        <v>327</v>
      </c>
      <c r="J23" s="265" t="e">
        <f>F23*H23</f>
        <v>#DIV/0!</v>
      </c>
      <c r="K23" s="148" t="s">
        <v>318</v>
      </c>
    </row>
    <row r="24" spans="1:11" x14ac:dyDescent="0.25">
      <c r="A24" s="148"/>
      <c r="B24" s="148"/>
      <c r="C24" s="148"/>
      <c r="D24" s="148"/>
      <c r="E24" s="148"/>
      <c r="F24" s="148"/>
      <c r="G24" s="148"/>
      <c r="H24" s="148"/>
      <c r="I24" s="148"/>
      <c r="J24" s="265"/>
      <c r="K24" s="148"/>
    </row>
    <row r="25" spans="1:11" x14ac:dyDescent="0.25">
      <c r="A25" s="148">
        <f>A3</f>
        <v>0</v>
      </c>
      <c r="B25" s="148" t="s">
        <v>326</v>
      </c>
      <c r="C25" s="265" t="e">
        <f>F17</f>
        <v>#DIV/0!</v>
      </c>
      <c r="D25" s="148" t="s">
        <v>325</v>
      </c>
      <c r="E25" s="243" t="s">
        <v>324</v>
      </c>
      <c r="F25" s="148" t="e">
        <f>A25*C25/100</f>
        <v>#DIV/0!</v>
      </c>
      <c r="G25" s="148" t="s">
        <v>326</v>
      </c>
      <c r="H25" s="265">
        <f>C8</f>
        <v>0</v>
      </c>
      <c r="I25" s="148" t="s">
        <v>327</v>
      </c>
      <c r="J25" s="265" t="e">
        <f>F25*H25</f>
        <v>#DIV/0!</v>
      </c>
      <c r="K25" s="148" t="s">
        <v>318</v>
      </c>
    </row>
    <row r="28" spans="1:11" ht="13" thickBot="1" x14ac:dyDescent="0.3"/>
    <row r="29" spans="1:11" ht="16" thickBot="1" x14ac:dyDescent="0.4">
      <c r="F29" s="257"/>
      <c r="G29" s="260" t="s">
        <v>328</v>
      </c>
      <c r="H29" s="260"/>
      <c r="I29" s="260"/>
      <c r="J29" s="266" t="e">
        <f>SUM(J21:J25)</f>
        <v>#DIV/0!</v>
      </c>
      <c r="K29" s="260" t="s">
        <v>318</v>
      </c>
    </row>
    <row r="31" spans="1:11" ht="16" thickBot="1" x14ac:dyDescent="0.4">
      <c r="A31" s="257"/>
      <c r="B31" s="257"/>
      <c r="C31" s="260" t="s">
        <v>329</v>
      </c>
      <c r="D31" s="260"/>
      <c r="E31" s="260"/>
      <c r="F31" s="257"/>
      <c r="G31" s="257"/>
      <c r="H31" s="257"/>
      <c r="I31" s="257"/>
      <c r="J31" s="257"/>
      <c r="K31" s="257"/>
    </row>
    <row r="32" spans="1:11" ht="16" thickBot="1" x14ac:dyDescent="0.4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</row>
    <row r="33" spans="1:11" ht="16" thickBot="1" x14ac:dyDescent="0.4">
      <c r="A33" s="257"/>
      <c r="B33" s="257"/>
      <c r="C33" s="257"/>
      <c r="D33" s="783" t="e">
        <f>J29</f>
        <v>#DIV/0!</v>
      </c>
      <c r="E33" s="783"/>
      <c r="F33" s="260" t="s">
        <v>327</v>
      </c>
      <c r="G33" s="267" t="e">
        <f>D33/E34</f>
        <v>#DIV/0!</v>
      </c>
      <c r="H33" s="268" t="s">
        <v>330</v>
      </c>
      <c r="I33" s="257"/>
      <c r="J33" s="257"/>
      <c r="K33" s="257"/>
    </row>
    <row r="34" spans="1:11" ht="15.5" x14ac:dyDescent="0.35">
      <c r="A34" s="257"/>
      <c r="B34" s="257"/>
      <c r="C34" s="257"/>
      <c r="D34" s="257"/>
      <c r="E34" s="257">
        <f>E9</f>
        <v>0</v>
      </c>
      <c r="F34" s="257" t="s">
        <v>319</v>
      </c>
      <c r="G34" s="257"/>
      <c r="H34" s="257"/>
      <c r="I34" s="257"/>
      <c r="J34" s="257"/>
      <c r="K34" s="257"/>
    </row>
  </sheetData>
  <sheetProtection password="C75E" sheet="1"/>
  <mergeCells count="1">
    <mergeCell ref="D33:E33"/>
  </mergeCells>
  <hyperlinks>
    <hyperlink ref="A1" location="Etusivu!A1" tooltip="Tästä pääset etusivulle" display="Etusivu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8"/>
  <sheetViews>
    <sheetView zoomScale="115" zoomScaleNormal="115" workbookViewId="0">
      <selection activeCell="A2" sqref="A2"/>
    </sheetView>
  </sheetViews>
  <sheetFormatPr defaultColWidth="9.1796875" defaultRowHeight="12.5" x14ac:dyDescent="0.25"/>
  <cols>
    <col min="1" max="1" width="21" style="109" customWidth="1"/>
    <col min="2" max="8" width="9.1796875" style="109"/>
    <col min="9" max="9" width="12" style="109" customWidth="1"/>
    <col min="10" max="16384" width="9.1796875" style="109"/>
  </cols>
  <sheetData>
    <row r="1" spans="1:10" ht="14" x14ac:dyDescent="0.3">
      <c r="A1" s="242"/>
      <c r="B1" s="240"/>
      <c r="C1" s="240"/>
      <c r="D1" s="240"/>
      <c r="E1" s="240"/>
      <c r="F1" s="240"/>
      <c r="H1" s="240"/>
      <c r="I1" s="240"/>
    </row>
    <row r="2" spans="1:10" ht="14" x14ac:dyDescent="0.3">
      <c r="A2" s="326" t="s">
        <v>234</v>
      </c>
      <c r="B2" s="240"/>
      <c r="C2" s="240"/>
      <c r="D2" s="240"/>
      <c r="E2" s="240"/>
      <c r="F2" s="240"/>
      <c r="G2" s="240"/>
      <c r="H2" s="240"/>
      <c r="I2" s="240"/>
    </row>
    <row r="3" spans="1:10" ht="14" x14ac:dyDescent="0.3">
      <c r="A3" s="240"/>
      <c r="B3" s="240"/>
      <c r="C3" s="240"/>
      <c r="D3" s="240"/>
      <c r="E3" s="240"/>
      <c r="F3" s="240"/>
      <c r="G3" s="240"/>
      <c r="H3" s="240"/>
      <c r="I3" s="240"/>
    </row>
    <row r="4" spans="1:10" ht="20" x14ac:dyDescent="0.4">
      <c r="A4" s="784" t="s">
        <v>355</v>
      </c>
      <c r="B4" s="784"/>
      <c r="C4" s="784"/>
      <c r="D4" s="784"/>
      <c r="E4" s="240"/>
      <c r="F4" s="240"/>
      <c r="G4" s="240"/>
      <c r="H4" s="240"/>
      <c r="I4" s="240"/>
    </row>
    <row r="5" spans="1:10" ht="14" x14ac:dyDescent="0.3">
      <c r="A5" s="240"/>
      <c r="B5" s="240"/>
      <c r="C5" s="240"/>
      <c r="D5" s="240"/>
      <c r="E5" s="240"/>
      <c r="F5" s="240"/>
      <c r="G5" s="269"/>
      <c r="H5" s="270"/>
      <c r="I5" s="240"/>
    </row>
    <row r="6" spans="1:10" ht="14" x14ac:dyDescent="0.3">
      <c r="A6" s="240"/>
      <c r="B6" s="240"/>
      <c r="C6" s="240"/>
      <c r="D6" s="240"/>
      <c r="E6" s="240"/>
      <c r="F6" s="240"/>
      <c r="G6" s="240"/>
      <c r="H6" s="240"/>
      <c r="I6" s="240"/>
    </row>
    <row r="7" spans="1:10" ht="14" x14ac:dyDescent="0.3">
      <c r="A7" s="240" t="s">
        <v>338</v>
      </c>
      <c r="B7" s="240"/>
      <c r="C7" s="240"/>
      <c r="D7" s="240"/>
      <c r="E7" s="785" t="s">
        <v>339</v>
      </c>
      <c r="F7" s="785"/>
      <c r="G7" s="240"/>
      <c r="H7" s="240"/>
      <c r="I7" s="271" t="e">
        <f>SUM('NHK muuttuu kesken urakan'!J29)</f>
        <v>#DIV/0!</v>
      </c>
      <c r="J7" s="272" t="s">
        <v>318</v>
      </c>
    </row>
    <row r="8" spans="1:10" ht="14" x14ac:dyDescent="0.3">
      <c r="A8" s="148" t="s">
        <v>461</v>
      </c>
      <c r="B8" s="148"/>
      <c r="C8" s="148"/>
      <c r="D8" s="273" t="s">
        <v>5</v>
      </c>
      <c r="E8" s="291"/>
      <c r="F8" s="274" t="s">
        <v>340</v>
      </c>
      <c r="G8" s="462">
        <f>SUM(Urakkatunnit!B10:B24)</f>
        <v>0</v>
      </c>
      <c r="H8" s="275" t="s">
        <v>341</v>
      </c>
      <c r="I8" s="276">
        <f t="shared" ref="I8:I13" si="0">E8*G8</f>
        <v>0</v>
      </c>
      <c r="J8" s="272" t="s">
        <v>318</v>
      </c>
    </row>
    <row r="9" spans="1:10" ht="14" x14ac:dyDescent="0.3">
      <c r="A9" s="340" t="s">
        <v>463</v>
      </c>
      <c r="B9" s="340"/>
      <c r="C9" s="340"/>
      <c r="D9" s="456"/>
      <c r="E9" s="291"/>
      <c r="F9" s="274" t="s">
        <v>340</v>
      </c>
      <c r="G9" s="462">
        <f>SUM(Urakkatunnit!B26:B29)</f>
        <v>0</v>
      </c>
      <c r="H9" s="275" t="s">
        <v>341</v>
      </c>
      <c r="I9" s="276">
        <f t="shared" si="0"/>
        <v>0</v>
      </c>
      <c r="J9" s="272"/>
    </row>
    <row r="10" spans="1:10" ht="14" x14ac:dyDescent="0.3">
      <c r="A10" s="148" t="s">
        <v>461</v>
      </c>
      <c r="B10" s="240"/>
      <c r="C10" s="240"/>
      <c r="D10" s="273" t="s">
        <v>6</v>
      </c>
      <c r="E10" s="291"/>
      <c r="F10" s="274" t="s">
        <v>340</v>
      </c>
      <c r="G10" s="462">
        <f>SUM(Urakkatunnit!D10:D24)</f>
        <v>0</v>
      </c>
      <c r="H10" s="275" t="s">
        <v>341</v>
      </c>
      <c r="I10" s="276">
        <f t="shared" si="0"/>
        <v>0</v>
      </c>
      <c r="J10" s="272" t="s">
        <v>318</v>
      </c>
    </row>
    <row r="11" spans="1:10" ht="14" x14ac:dyDescent="0.3">
      <c r="A11" s="340" t="s">
        <v>463</v>
      </c>
      <c r="B11" s="458"/>
      <c r="C11" s="458"/>
      <c r="D11" s="459"/>
      <c r="E11" s="291"/>
      <c r="F11" s="274" t="s">
        <v>340</v>
      </c>
      <c r="G11" s="462">
        <f>SUM(Urakkatunnit!D26:D29)</f>
        <v>0</v>
      </c>
      <c r="H11" s="275" t="s">
        <v>341</v>
      </c>
      <c r="I11" s="276">
        <f t="shared" si="0"/>
        <v>0</v>
      </c>
      <c r="J11" s="272"/>
    </row>
    <row r="12" spans="1:10" ht="14" x14ac:dyDescent="0.3">
      <c r="A12" s="148" t="s">
        <v>461</v>
      </c>
      <c r="D12" s="246" t="s">
        <v>7</v>
      </c>
      <c r="E12" s="457"/>
      <c r="F12" s="274" t="s">
        <v>340</v>
      </c>
      <c r="G12" s="462">
        <f>SUM(Urakkatunnit!F10:F24)</f>
        <v>0</v>
      </c>
      <c r="H12" s="275" t="s">
        <v>341</v>
      </c>
      <c r="I12" s="276">
        <f t="shared" si="0"/>
        <v>0</v>
      </c>
      <c r="J12" s="272" t="s">
        <v>318</v>
      </c>
    </row>
    <row r="13" spans="1:10" ht="14" x14ac:dyDescent="0.3">
      <c r="A13" s="340" t="s">
        <v>463</v>
      </c>
      <c r="B13" s="460"/>
      <c r="C13" s="460"/>
      <c r="D13" s="461"/>
      <c r="E13" s="291"/>
      <c r="F13" s="274" t="s">
        <v>340</v>
      </c>
      <c r="G13" s="462">
        <f>SUM(Urakkatunnit!F26:F29)</f>
        <v>0</v>
      </c>
      <c r="H13" s="275" t="s">
        <v>341</v>
      </c>
      <c r="I13" s="276">
        <f t="shared" si="0"/>
        <v>0</v>
      </c>
      <c r="J13" s="272"/>
    </row>
    <row r="14" spans="1:10" ht="14" x14ac:dyDescent="0.3">
      <c r="A14" s="148" t="s">
        <v>462</v>
      </c>
      <c r="D14" s="246"/>
      <c r="E14" s="455"/>
      <c r="F14" s="280"/>
      <c r="G14" s="275">
        <f>SUM(Urakkatunnit!H31:H34)</f>
        <v>0</v>
      </c>
      <c r="H14" s="275" t="s">
        <v>341</v>
      </c>
      <c r="I14" s="271">
        <f>SUM(Urakkatunnit!I31:I34)</f>
        <v>0</v>
      </c>
      <c r="J14" s="349" t="s">
        <v>318</v>
      </c>
    </row>
    <row r="15" spans="1:10" ht="14" x14ac:dyDescent="0.3">
      <c r="D15" s="246"/>
      <c r="E15" s="454"/>
      <c r="F15" s="280"/>
      <c r="G15" s="240"/>
      <c r="H15" s="240"/>
      <c r="I15" s="271"/>
      <c r="J15" s="272"/>
    </row>
    <row r="16" spans="1:10" ht="14.5" x14ac:dyDescent="0.35">
      <c r="A16" s="277" t="s">
        <v>342</v>
      </c>
      <c r="B16" s="278"/>
      <c r="C16" s="278"/>
      <c r="D16" s="240"/>
      <c r="E16" s="279"/>
      <c r="F16" s="280"/>
      <c r="G16" s="240"/>
      <c r="H16" s="240" t="s">
        <v>343</v>
      </c>
      <c r="I16" s="281" t="e">
        <f>SUM(I7-I8-I9-I10-I11-I12-I13-I14)</f>
        <v>#DIV/0!</v>
      </c>
      <c r="J16" s="272" t="s">
        <v>318</v>
      </c>
    </row>
    <row r="17" spans="1:11" ht="14.5" x14ac:dyDescent="0.35">
      <c r="A17" s="277"/>
      <c r="B17" s="278"/>
      <c r="C17" s="278"/>
      <c r="D17" s="240"/>
      <c r="E17" s="279"/>
      <c r="F17" s="280"/>
      <c r="G17" s="240"/>
      <c r="H17" s="240"/>
      <c r="I17" s="278"/>
    </row>
    <row r="18" spans="1:11" ht="14.5" x14ac:dyDescent="0.35">
      <c r="A18" s="277"/>
      <c r="B18" s="278"/>
      <c r="C18" s="278"/>
      <c r="D18" s="240"/>
      <c r="E18" s="279"/>
      <c r="F18" s="280"/>
      <c r="G18" s="240"/>
      <c r="H18" s="240"/>
      <c r="I18" s="278"/>
    </row>
    <row r="19" spans="1:11" ht="14" x14ac:dyDescent="0.3">
      <c r="A19" s="240" t="s">
        <v>344</v>
      </c>
      <c r="B19" s="240"/>
      <c r="C19" s="240"/>
      <c r="D19" s="282"/>
      <c r="E19" s="273"/>
      <c r="F19" s="280"/>
      <c r="G19" s="269"/>
      <c r="H19" s="240"/>
      <c r="I19" s="278"/>
    </row>
    <row r="20" spans="1:11" ht="14" x14ac:dyDescent="0.3">
      <c r="A20" s="240" t="s">
        <v>345</v>
      </c>
      <c r="B20" s="240"/>
      <c r="C20" s="240"/>
      <c r="D20" s="240"/>
      <c r="E20" s="283">
        <v>5.2999999999999999E-2</v>
      </c>
      <c r="F20" s="274" t="s">
        <v>323</v>
      </c>
      <c r="G20" s="271" t="e">
        <f>I16</f>
        <v>#DIV/0!</v>
      </c>
      <c r="H20" s="275" t="s">
        <v>346</v>
      </c>
      <c r="I20" s="276" t="e">
        <f>E20*G20</f>
        <v>#DIV/0!</v>
      </c>
      <c r="J20" s="272" t="s">
        <v>318</v>
      </c>
    </row>
    <row r="21" spans="1:11" ht="14" x14ac:dyDescent="0.3">
      <c r="A21" s="240" t="s">
        <v>347</v>
      </c>
      <c r="B21" s="240"/>
      <c r="C21" s="240"/>
      <c r="D21" s="273" t="s">
        <v>5</v>
      </c>
      <c r="E21" s="292"/>
      <c r="F21" s="274" t="s">
        <v>340</v>
      </c>
      <c r="G21" s="293"/>
      <c r="H21" s="275" t="s">
        <v>341</v>
      </c>
      <c r="I21" s="284">
        <f>E21*G21</f>
        <v>0</v>
      </c>
      <c r="J21" s="272"/>
    </row>
    <row r="22" spans="1:11" ht="14" x14ac:dyDescent="0.3">
      <c r="A22" s="240"/>
      <c r="B22" s="240"/>
      <c r="C22" s="240"/>
      <c r="D22" s="273" t="s">
        <v>6</v>
      </c>
      <c r="E22" s="292"/>
      <c r="F22" s="274" t="s">
        <v>340</v>
      </c>
      <c r="G22" s="293"/>
      <c r="H22" s="275" t="s">
        <v>341</v>
      </c>
      <c r="I22" s="284">
        <f>E22*G22</f>
        <v>0</v>
      </c>
      <c r="J22" s="272"/>
    </row>
    <row r="23" spans="1:11" ht="14.5" thickBot="1" x14ac:dyDescent="0.35">
      <c r="B23" s="280"/>
      <c r="C23" s="280"/>
      <c r="D23" s="273" t="s">
        <v>7</v>
      </c>
      <c r="E23" s="292"/>
      <c r="F23" s="274" t="s">
        <v>340</v>
      </c>
      <c r="G23" s="293"/>
      <c r="H23" s="275" t="s">
        <v>341</v>
      </c>
      <c r="I23" s="284">
        <f>E23*G23</f>
        <v>0</v>
      </c>
      <c r="J23" s="272" t="s">
        <v>318</v>
      </c>
    </row>
    <row r="24" spans="1:11" ht="14.5" thickBot="1" x14ac:dyDescent="0.35">
      <c r="A24" s="240" t="s">
        <v>348</v>
      </c>
      <c r="B24" s="240"/>
      <c r="C24" s="240"/>
      <c r="D24" s="240"/>
      <c r="E24" s="285"/>
      <c r="F24" s="280"/>
      <c r="G24" s="240"/>
      <c r="H24" s="240"/>
      <c r="I24" s="286" t="e">
        <f>I20-I21-I22-I23</f>
        <v>#DIV/0!</v>
      </c>
      <c r="J24" s="272" t="s">
        <v>318</v>
      </c>
    </row>
    <row r="25" spans="1:11" ht="14.5" thickBot="1" x14ac:dyDescent="0.35">
      <c r="A25" s="240" t="s">
        <v>349</v>
      </c>
      <c r="B25" s="240"/>
      <c r="C25" s="240"/>
      <c r="D25" s="240"/>
      <c r="E25" s="287" t="e">
        <f>I24</f>
        <v>#DIV/0!</v>
      </c>
      <c r="F25" s="274" t="s">
        <v>350</v>
      </c>
      <c r="G25" s="288">
        <f>SUM(G21:G23)</f>
        <v>0</v>
      </c>
      <c r="H25" s="275" t="s">
        <v>341</v>
      </c>
      <c r="I25" s="289" t="e">
        <f>E25/G25</f>
        <v>#DIV/0!</v>
      </c>
      <c r="J25" s="272" t="s">
        <v>330</v>
      </c>
    </row>
    <row r="26" spans="1:11" ht="14.5" thickBot="1" x14ac:dyDescent="0.35">
      <c r="A26" s="240" t="s">
        <v>351</v>
      </c>
      <c r="B26" s="786"/>
      <c r="C26" s="787"/>
      <c r="D26" s="788"/>
      <c r="E26" s="294"/>
      <c r="F26" s="274" t="s">
        <v>352</v>
      </c>
      <c r="G26" s="271" t="e">
        <f>I25</f>
        <v>#DIV/0!</v>
      </c>
      <c r="H26" s="241" t="s">
        <v>346</v>
      </c>
      <c r="I26" s="295" t="e">
        <f>E26*G26</f>
        <v>#DIV/0!</v>
      </c>
      <c r="J26" s="272" t="s">
        <v>318</v>
      </c>
      <c r="K26" s="290" t="s">
        <v>353</v>
      </c>
    </row>
    <row r="27" spans="1:11" ht="14.5" thickBot="1" x14ac:dyDescent="0.35">
      <c r="A27" s="240" t="s">
        <v>354</v>
      </c>
      <c r="B27" s="786"/>
      <c r="C27" s="787"/>
      <c r="D27" s="788"/>
      <c r="E27" s="294"/>
      <c r="F27" s="274" t="s">
        <v>352</v>
      </c>
      <c r="G27" s="271" t="e">
        <f>I25</f>
        <v>#DIV/0!</v>
      </c>
      <c r="H27" s="241" t="s">
        <v>346</v>
      </c>
      <c r="I27" s="296" t="e">
        <f>E27*G27</f>
        <v>#DIV/0!</v>
      </c>
      <c r="J27" s="272" t="s">
        <v>318</v>
      </c>
      <c r="K27" s="290" t="s">
        <v>353</v>
      </c>
    </row>
    <row r="28" spans="1:11" ht="14" x14ac:dyDescent="0.3">
      <c r="A28" s="240"/>
      <c r="B28" s="240"/>
      <c r="C28" s="240"/>
      <c r="D28" s="240"/>
      <c r="E28" s="240"/>
      <c r="F28" s="240"/>
      <c r="G28" s="240"/>
      <c r="H28" s="240"/>
      <c r="I28" s="240"/>
    </row>
  </sheetData>
  <sheetProtection password="C75E" sheet="1"/>
  <mergeCells count="4">
    <mergeCell ref="A4:D4"/>
    <mergeCell ref="E7:F7"/>
    <mergeCell ref="B26:D26"/>
    <mergeCell ref="B27:D27"/>
  </mergeCells>
  <hyperlinks>
    <hyperlink ref="A2" location="Etusivu!A1" tooltip="Tästä pääset etusivulle" display="Etusivu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7"/>
  <sheetViews>
    <sheetView zoomScale="120" zoomScaleNormal="120" workbookViewId="0"/>
  </sheetViews>
  <sheetFormatPr defaultColWidth="9.1796875" defaultRowHeight="12.5" x14ac:dyDescent="0.25"/>
  <cols>
    <col min="1" max="1" width="21" style="109" customWidth="1"/>
    <col min="2" max="2" width="0.1796875" style="109" hidden="1" customWidth="1"/>
    <col min="3" max="3" width="9.1796875" style="109" hidden="1" customWidth="1"/>
    <col min="4" max="6" width="9.1796875" style="109"/>
    <col min="7" max="7" width="10.26953125" style="109" customWidth="1"/>
    <col min="8" max="9" width="10.54296875" style="109" customWidth="1"/>
    <col min="10" max="10" width="11.453125" style="109" customWidth="1"/>
    <col min="11" max="11" width="10.54296875" style="109" customWidth="1"/>
    <col min="12" max="16384" width="9.1796875" style="109"/>
  </cols>
  <sheetData>
    <row r="1" spans="1:13" x14ac:dyDescent="0.25">
      <c r="A1" s="326" t="s">
        <v>234</v>
      </c>
    </row>
    <row r="2" spans="1:13" ht="15.5" x14ac:dyDescent="0.35">
      <c r="A2" s="779" t="s">
        <v>356</v>
      </c>
      <c r="B2" s="779"/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</row>
    <row r="3" spans="1:13" x14ac:dyDescent="0.25">
      <c r="A3" s="148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</row>
    <row r="4" spans="1:13" ht="13" x14ac:dyDescent="0.3">
      <c r="A4" s="339" t="s">
        <v>357</v>
      </c>
      <c r="B4" s="340"/>
      <c r="C4" s="340"/>
      <c r="D4" s="789">
        <f>Etusivu!D48</f>
        <v>0</v>
      </c>
      <c r="E4" s="789"/>
      <c r="F4" s="789"/>
      <c r="G4" s="789"/>
      <c r="H4" s="148"/>
      <c r="I4" s="148"/>
      <c r="J4" s="148"/>
      <c r="K4" s="148"/>
      <c r="L4" s="148"/>
      <c r="M4" s="148"/>
    </row>
    <row r="5" spans="1:13" x14ac:dyDescent="0.25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</row>
    <row r="6" spans="1:13" x14ac:dyDescent="0.25">
      <c r="A6" s="340" t="s">
        <v>358</v>
      </c>
      <c r="B6" s="340"/>
      <c r="C6" s="340"/>
      <c r="D6" s="792" t="e">
        <f>SUM('NHK muuttuu kesken urakan'!J29)</f>
        <v>#DIV/0!</v>
      </c>
      <c r="E6" s="792"/>
      <c r="F6" s="792"/>
      <c r="G6" s="792"/>
      <c r="H6" s="148"/>
      <c r="I6" s="148"/>
      <c r="J6" s="148"/>
      <c r="K6" s="148"/>
      <c r="L6" s="148"/>
      <c r="M6" s="148"/>
    </row>
    <row r="7" spans="1:13" x14ac:dyDescent="0.25">
      <c r="A7" s="243" t="s">
        <v>460</v>
      </c>
      <c r="B7" s="148"/>
      <c r="C7" s="148"/>
      <c r="D7" s="794">
        <f>SUM(J33:J36)</f>
        <v>0</v>
      </c>
      <c r="E7" s="795"/>
      <c r="F7" s="795"/>
      <c r="G7" s="795"/>
      <c r="H7" s="148"/>
      <c r="I7" s="148"/>
      <c r="J7" s="148"/>
      <c r="K7" s="148"/>
      <c r="L7" s="148"/>
      <c r="M7" s="148"/>
    </row>
    <row r="8" spans="1:13" ht="13" x14ac:dyDescent="0.3">
      <c r="A8" s="243" t="s">
        <v>459</v>
      </c>
      <c r="B8" s="148"/>
      <c r="C8" s="148"/>
      <c r="D8" s="796" t="e">
        <f>SUM(D6-D7)</f>
        <v>#DIV/0!</v>
      </c>
      <c r="E8" s="797"/>
      <c r="F8" s="797"/>
      <c r="G8" s="797"/>
      <c r="H8" s="341"/>
      <c r="I8" s="148"/>
      <c r="J8" s="148"/>
      <c r="K8" s="148"/>
      <c r="L8" s="148"/>
      <c r="M8" s="148"/>
    </row>
    <row r="9" spans="1:13" x14ac:dyDescent="0.25">
      <c r="A9" s="148"/>
      <c r="B9" s="148"/>
      <c r="C9" s="148"/>
      <c r="D9" s="148"/>
      <c r="E9" s="148"/>
      <c r="F9" s="148"/>
      <c r="G9" s="342"/>
      <c r="H9" s="340"/>
      <c r="I9" s="148"/>
      <c r="J9" s="148"/>
      <c r="K9" s="148"/>
      <c r="L9" s="148"/>
      <c r="M9" s="148"/>
    </row>
    <row r="10" spans="1:13" x14ac:dyDescent="0.25">
      <c r="A10" s="343"/>
      <c r="B10" s="148"/>
      <c r="C10" s="148"/>
      <c r="D10" s="344"/>
      <c r="E10" s="790" t="s">
        <v>441</v>
      </c>
      <c r="F10" s="345" t="s">
        <v>359</v>
      </c>
      <c r="G10" s="346" t="s">
        <v>360</v>
      </c>
      <c r="H10" s="344" t="s">
        <v>361</v>
      </c>
      <c r="I10" s="347" t="s">
        <v>362</v>
      </c>
      <c r="J10" s="344" t="s">
        <v>361</v>
      </c>
      <c r="K10" s="344"/>
      <c r="L10" s="137"/>
      <c r="M10" s="137"/>
    </row>
    <row r="11" spans="1:13" x14ac:dyDescent="0.25">
      <c r="A11" s="348" t="s">
        <v>363</v>
      </c>
      <c r="B11" s="349"/>
      <c r="C11" s="349"/>
      <c r="D11" s="350" t="s">
        <v>364</v>
      </c>
      <c r="E11" s="791"/>
      <c r="F11" s="351" t="s">
        <v>365</v>
      </c>
      <c r="G11" s="352" t="s">
        <v>366</v>
      </c>
      <c r="H11" s="352" t="s">
        <v>334</v>
      </c>
      <c r="I11" s="353" t="s">
        <v>367</v>
      </c>
      <c r="J11" s="352" t="s">
        <v>368</v>
      </c>
      <c r="K11" s="354" t="s">
        <v>369</v>
      </c>
      <c r="L11" s="137"/>
      <c r="M11" s="137"/>
    </row>
    <row r="12" spans="1:13" ht="13" x14ac:dyDescent="0.3">
      <c r="A12" s="355">
        <f>Urakkatunnit!A10</f>
        <v>0</v>
      </c>
      <c r="B12" s="349"/>
      <c r="C12" s="349"/>
      <c r="D12" s="356">
        <f>SUM(Urakkatunnit!H10)</f>
        <v>0</v>
      </c>
      <c r="E12" s="380"/>
      <c r="F12" s="357">
        <f t="shared" ref="F12:F31" si="0">D12*E12</f>
        <v>0</v>
      </c>
      <c r="G12" s="358">
        <f>SUM(Urakkatunnit!I10)</f>
        <v>0</v>
      </c>
      <c r="H12" s="359">
        <f>SUM(Välipohjat!M7)</f>
        <v>0</v>
      </c>
      <c r="I12" s="360" t="e">
        <f>F12*$D$8/$F$37</f>
        <v>#DIV/0!</v>
      </c>
      <c r="J12" s="359">
        <f>G12+H12</f>
        <v>0</v>
      </c>
      <c r="K12" s="361" t="e">
        <f t="shared" ref="K12:K31" si="1">I12-J12</f>
        <v>#DIV/0!</v>
      </c>
      <c r="L12" s="265"/>
      <c r="M12" s="265"/>
    </row>
    <row r="13" spans="1:13" ht="13" x14ac:dyDescent="0.3">
      <c r="A13" s="355">
        <f>Urakkatunnit!A11</f>
        <v>0</v>
      </c>
      <c r="B13" s="349"/>
      <c r="C13" s="349"/>
      <c r="D13" s="356">
        <f>SUM(Urakkatunnit!H11)</f>
        <v>0</v>
      </c>
      <c r="E13" s="380"/>
      <c r="F13" s="357">
        <f t="shared" si="0"/>
        <v>0</v>
      </c>
      <c r="G13" s="358">
        <f>SUM(Urakkatunnit!I11)</f>
        <v>0</v>
      </c>
      <c r="H13" s="359">
        <f>SUM(Välipohjat!M8)</f>
        <v>0</v>
      </c>
      <c r="I13" s="360" t="e">
        <f t="shared" ref="I13:I31" si="2">F13*$D$8/$F$37</f>
        <v>#DIV/0!</v>
      </c>
      <c r="J13" s="359">
        <f t="shared" ref="J13:J31" si="3">G13+H13</f>
        <v>0</v>
      </c>
      <c r="K13" s="361" t="e">
        <f t="shared" si="1"/>
        <v>#DIV/0!</v>
      </c>
      <c r="L13" s="265"/>
      <c r="M13" s="265"/>
    </row>
    <row r="14" spans="1:13" ht="13" x14ac:dyDescent="0.3">
      <c r="A14" s="355">
        <f>Urakkatunnit!A12</f>
        <v>0</v>
      </c>
      <c r="B14" s="349"/>
      <c r="C14" s="349"/>
      <c r="D14" s="356">
        <f>SUM(Urakkatunnit!H12)</f>
        <v>0</v>
      </c>
      <c r="E14" s="380"/>
      <c r="F14" s="357">
        <f t="shared" si="0"/>
        <v>0</v>
      </c>
      <c r="G14" s="358">
        <f>SUM(Urakkatunnit!I12)</f>
        <v>0</v>
      </c>
      <c r="H14" s="359">
        <f>SUM(Välipohjat!M9)</f>
        <v>0</v>
      </c>
      <c r="I14" s="360" t="e">
        <f t="shared" si="2"/>
        <v>#DIV/0!</v>
      </c>
      <c r="J14" s="359">
        <f t="shared" si="3"/>
        <v>0</v>
      </c>
      <c r="K14" s="361" t="e">
        <f t="shared" si="1"/>
        <v>#DIV/0!</v>
      </c>
      <c r="L14" s="265"/>
      <c r="M14" s="265"/>
    </row>
    <row r="15" spans="1:13" ht="13" x14ac:dyDescent="0.3">
      <c r="A15" s="355">
        <f>Urakkatunnit!A13</f>
        <v>0</v>
      </c>
      <c r="B15" s="349"/>
      <c r="C15" s="349"/>
      <c r="D15" s="356">
        <f>SUM(Urakkatunnit!H13)</f>
        <v>0</v>
      </c>
      <c r="E15" s="380"/>
      <c r="F15" s="357">
        <f t="shared" si="0"/>
        <v>0</v>
      </c>
      <c r="G15" s="358">
        <f>SUM(Urakkatunnit!I13)</f>
        <v>0</v>
      </c>
      <c r="H15" s="359">
        <f>SUM(Välipohjat!M10)</f>
        <v>0</v>
      </c>
      <c r="I15" s="360" t="e">
        <f t="shared" si="2"/>
        <v>#DIV/0!</v>
      </c>
      <c r="J15" s="359">
        <f t="shared" si="3"/>
        <v>0</v>
      </c>
      <c r="K15" s="361" t="e">
        <f t="shared" si="1"/>
        <v>#DIV/0!</v>
      </c>
      <c r="L15" s="265"/>
      <c r="M15" s="265"/>
    </row>
    <row r="16" spans="1:13" ht="13" x14ac:dyDescent="0.3">
      <c r="A16" s="355">
        <f>Urakkatunnit!A14</f>
        <v>0</v>
      </c>
      <c r="B16" s="349"/>
      <c r="C16" s="349"/>
      <c r="D16" s="356">
        <f>SUM(Urakkatunnit!H14)</f>
        <v>0</v>
      </c>
      <c r="E16" s="380"/>
      <c r="F16" s="357">
        <f t="shared" si="0"/>
        <v>0</v>
      </c>
      <c r="G16" s="358">
        <f>SUM(Urakkatunnit!I14)</f>
        <v>0</v>
      </c>
      <c r="H16" s="359">
        <f>SUM(Välipohjat!M11)</f>
        <v>0</v>
      </c>
      <c r="I16" s="360" t="e">
        <f t="shared" si="2"/>
        <v>#DIV/0!</v>
      </c>
      <c r="J16" s="359">
        <f t="shared" si="3"/>
        <v>0</v>
      </c>
      <c r="K16" s="361" t="e">
        <f t="shared" si="1"/>
        <v>#DIV/0!</v>
      </c>
      <c r="L16" s="265"/>
      <c r="M16" s="265"/>
    </row>
    <row r="17" spans="1:13" ht="13" x14ac:dyDescent="0.3">
      <c r="A17" s="355">
        <f>Urakkatunnit!A15</f>
        <v>0</v>
      </c>
      <c r="B17" s="349"/>
      <c r="C17" s="349"/>
      <c r="D17" s="356">
        <f>SUM(Urakkatunnit!H15)</f>
        <v>0</v>
      </c>
      <c r="E17" s="380"/>
      <c r="F17" s="357">
        <f t="shared" si="0"/>
        <v>0</v>
      </c>
      <c r="G17" s="358">
        <f>SUM(Urakkatunnit!I15)</f>
        <v>0</v>
      </c>
      <c r="H17" s="359">
        <f>SUM(Välipohjat!M12)</f>
        <v>0</v>
      </c>
      <c r="I17" s="360" t="e">
        <f t="shared" si="2"/>
        <v>#DIV/0!</v>
      </c>
      <c r="J17" s="359">
        <f t="shared" si="3"/>
        <v>0</v>
      </c>
      <c r="K17" s="361" t="e">
        <f t="shared" si="1"/>
        <v>#DIV/0!</v>
      </c>
      <c r="L17" s="265"/>
      <c r="M17" s="265"/>
    </row>
    <row r="18" spans="1:13" ht="13" x14ac:dyDescent="0.3">
      <c r="A18" s="355">
        <f>Urakkatunnit!A16</f>
        <v>0</v>
      </c>
      <c r="B18" s="349"/>
      <c r="C18" s="349"/>
      <c r="D18" s="356">
        <f>SUM(Urakkatunnit!H16)</f>
        <v>0</v>
      </c>
      <c r="E18" s="380"/>
      <c r="F18" s="357">
        <f t="shared" si="0"/>
        <v>0</v>
      </c>
      <c r="G18" s="358">
        <f>SUM(Urakkatunnit!I16)</f>
        <v>0</v>
      </c>
      <c r="H18" s="359">
        <f>SUM(Välipohjat!M13)</f>
        <v>0</v>
      </c>
      <c r="I18" s="360" t="e">
        <f t="shared" si="2"/>
        <v>#DIV/0!</v>
      </c>
      <c r="J18" s="359">
        <f t="shared" si="3"/>
        <v>0</v>
      </c>
      <c r="K18" s="361" t="e">
        <f t="shared" si="1"/>
        <v>#DIV/0!</v>
      </c>
      <c r="L18" s="265"/>
      <c r="M18" s="265"/>
    </row>
    <row r="19" spans="1:13" ht="13" x14ac:dyDescent="0.3">
      <c r="A19" s="355">
        <f>Urakkatunnit!A17</f>
        <v>0</v>
      </c>
      <c r="B19" s="362"/>
      <c r="C19" s="349"/>
      <c r="D19" s="356">
        <f>SUM(Urakkatunnit!H17)</f>
        <v>0</v>
      </c>
      <c r="E19" s="380"/>
      <c r="F19" s="357">
        <f t="shared" si="0"/>
        <v>0</v>
      </c>
      <c r="G19" s="358">
        <f>SUM(Urakkatunnit!I17)</f>
        <v>0</v>
      </c>
      <c r="H19" s="359">
        <f>SUM(Välipohjat!M14)</f>
        <v>0</v>
      </c>
      <c r="I19" s="360" t="e">
        <f t="shared" si="2"/>
        <v>#DIV/0!</v>
      </c>
      <c r="J19" s="359">
        <f t="shared" si="3"/>
        <v>0</v>
      </c>
      <c r="K19" s="361" t="e">
        <f t="shared" si="1"/>
        <v>#DIV/0!</v>
      </c>
      <c r="L19" s="265"/>
      <c r="M19" s="265"/>
    </row>
    <row r="20" spans="1:13" ht="13" x14ac:dyDescent="0.3">
      <c r="A20" s="355">
        <f>Urakkatunnit!A18</f>
        <v>0</v>
      </c>
      <c r="B20" s="349"/>
      <c r="C20" s="349"/>
      <c r="D20" s="356">
        <f>SUM(Urakkatunnit!H18)</f>
        <v>0</v>
      </c>
      <c r="E20" s="380"/>
      <c r="F20" s="357">
        <f t="shared" si="0"/>
        <v>0</v>
      </c>
      <c r="G20" s="358">
        <f>SUM(Urakkatunnit!I18)</f>
        <v>0</v>
      </c>
      <c r="H20" s="359">
        <f>SUM(Välipohjat!M15)</f>
        <v>0</v>
      </c>
      <c r="I20" s="360" t="e">
        <f t="shared" si="2"/>
        <v>#DIV/0!</v>
      </c>
      <c r="J20" s="359">
        <f t="shared" si="3"/>
        <v>0</v>
      </c>
      <c r="K20" s="361" t="e">
        <f t="shared" si="1"/>
        <v>#DIV/0!</v>
      </c>
      <c r="L20" s="265"/>
      <c r="M20" s="265"/>
    </row>
    <row r="21" spans="1:13" ht="13" x14ac:dyDescent="0.3">
      <c r="A21" s="355">
        <f>Urakkatunnit!A19</f>
        <v>0</v>
      </c>
      <c r="B21" s="349"/>
      <c r="C21" s="349"/>
      <c r="D21" s="356">
        <f>SUM(Urakkatunnit!H19)</f>
        <v>0</v>
      </c>
      <c r="E21" s="380"/>
      <c r="F21" s="357">
        <f t="shared" si="0"/>
        <v>0</v>
      </c>
      <c r="G21" s="358">
        <f>SUM(Urakkatunnit!I19)</f>
        <v>0</v>
      </c>
      <c r="H21" s="359">
        <f>SUM(Välipohjat!M16)</f>
        <v>0</v>
      </c>
      <c r="I21" s="360" t="e">
        <f t="shared" si="2"/>
        <v>#DIV/0!</v>
      </c>
      <c r="J21" s="359">
        <f t="shared" si="3"/>
        <v>0</v>
      </c>
      <c r="K21" s="361" t="e">
        <f t="shared" si="1"/>
        <v>#DIV/0!</v>
      </c>
      <c r="L21" s="265"/>
      <c r="M21" s="265"/>
    </row>
    <row r="22" spans="1:13" ht="13" x14ac:dyDescent="0.3">
      <c r="A22" s="355">
        <f>Urakkatunnit!A20</f>
        <v>0</v>
      </c>
      <c r="B22" s="349"/>
      <c r="C22" s="349"/>
      <c r="D22" s="356">
        <f>SUM(Urakkatunnit!H20)</f>
        <v>0</v>
      </c>
      <c r="E22" s="380"/>
      <c r="F22" s="357">
        <f t="shared" si="0"/>
        <v>0</v>
      </c>
      <c r="G22" s="358">
        <f>SUM(Urakkatunnit!I20)</f>
        <v>0</v>
      </c>
      <c r="H22" s="359">
        <f>SUM(Välipohjat!M17)</f>
        <v>0</v>
      </c>
      <c r="I22" s="360" t="e">
        <f t="shared" si="2"/>
        <v>#DIV/0!</v>
      </c>
      <c r="J22" s="359">
        <f t="shared" si="3"/>
        <v>0</v>
      </c>
      <c r="K22" s="361" t="e">
        <f t="shared" si="1"/>
        <v>#DIV/0!</v>
      </c>
      <c r="L22" s="265"/>
      <c r="M22" s="265"/>
    </row>
    <row r="23" spans="1:13" ht="13" x14ac:dyDescent="0.3">
      <c r="A23" s="355">
        <f>Urakkatunnit!A21</f>
        <v>0</v>
      </c>
      <c r="B23" s="349"/>
      <c r="C23" s="349"/>
      <c r="D23" s="356">
        <f>SUM(Urakkatunnit!H21)</f>
        <v>0</v>
      </c>
      <c r="E23" s="380"/>
      <c r="F23" s="357">
        <f t="shared" si="0"/>
        <v>0</v>
      </c>
      <c r="G23" s="358">
        <f>SUM(Urakkatunnit!I21)</f>
        <v>0</v>
      </c>
      <c r="H23" s="359">
        <f>SUM(Välipohjat!M18)</f>
        <v>0</v>
      </c>
      <c r="I23" s="360" t="e">
        <f t="shared" si="2"/>
        <v>#DIV/0!</v>
      </c>
      <c r="J23" s="359">
        <f t="shared" si="3"/>
        <v>0</v>
      </c>
      <c r="K23" s="361" t="e">
        <f t="shared" si="1"/>
        <v>#DIV/0!</v>
      </c>
      <c r="L23" s="265"/>
      <c r="M23" s="265"/>
    </row>
    <row r="24" spans="1:13" ht="13" x14ac:dyDescent="0.3">
      <c r="A24" s="355">
        <f>Urakkatunnit!A22</f>
        <v>0</v>
      </c>
      <c r="B24" s="349"/>
      <c r="C24" s="349"/>
      <c r="D24" s="356">
        <f>SUM(Urakkatunnit!H22)</f>
        <v>0</v>
      </c>
      <c r="E24" s="380"/>
      <c r="F24" s="357">
        <f t="shared" si="0"/>
        <v>0</v>
      </c>
      <c r="G24" s="358">
        <f>SUM(Urakkatunnit!I22)</f>
        <v>0</v>
      </c>
      <c r="H24" s="359">
        <f>SUM(Välipohjat!M19)</f>
        <v>0</v>
      </c>
      <c r="I24" s="360" t="e">
        <f t="shared" si="2"/>
        <v>#DIV/0!</v>
      </c>
      <c r="J24" s="359">
        <f t="shared" si="3"/>
        <v>0</v>
      </c>
      <c r="K24" s="361" t="e">
        <f t="shared" si="1"/>
        <v>#DIV/0!</v>
      </c>
      <c r="L24" s="265"/>
      <c r="M24" s="265"/>
    </row>
    <row r="25" spans="1:13" ht="13" x14ac:dyDescent="0.3">
      <c r="A25" s="355">
        <f>Urakkatunnit!A23</f>
        <v>0</v>
      </c>
      <c r="B25" s="349"/>
      <c r="C25" s="349"/>
      <c r="D25" s="356">
        <f>SUM(Urakkatunnit!H23)</f>
        <v>0</v>
      </c>
      <c r="E25" s="380"/>
      <c r="F25" s="357">
        <f t="shared" si="0"/>
        <v>0</v>
      </c>
      <c r="G25" s="358">
        <f>SUM(Urakkatunnit!I23)</f>
        <v>0</v>
      </c>
      <c r="H25" s="359">
        <f>SUM(Välipohjat!M20)</f>
        <v>0</v>
      </c>
      <c r="I25" s="360" t="e">
        <f t="shared" si="2"/>
        <v>#DIV/0!</v>
      </c>
      <c r="J25" s="359">
        <f t="shared" si="3"/>
        <v>0</v>
      </c>
      <c r="K25" s="361" t="e">
        <f t="shared" si="1"/>
        <v>#DIV/0!</v>
      </c>
      <c r="L25" s="265"/>
      <c r="M25" s="265"/>
    </row>
    <row r="26" spans="1:13" ht="13" x14ac:dyDescent="0.3">
      <c r="A26" s="463">
        <f>Urakkatunnit!A24</f>
        <v>0</v>
      </c>
      <c r="B26" s="343"/>
      <c r="C26" s="343"/>
      <c r="D26" s="464">
        <f>SUM(Urakkatunnit!H24)</f>
        <v>0</v>
      </c>
      <c r="E26" s="380"/>
      <c r="F26" s="465">
        <f t="shared" si="0"/>
        <v>0</v>
      </c>
      <c r="G26" s="466">
        <f>SUM(Urakkatunnit!I24)</f>
        <v>0</v>
      </c>
      <c r="H26" s="359">
        <f>SUM(Välipohjat!M21)</f>
        <v>0</v>
      </c>
      <c r="I26" s="468" t="e">
        <f t="shared" si="2"/>
        <v>#DIV/0!</v>
      </c>
      <c r="J26" s="467">
        <f t="shared" si="3"/>
        <v>0</v>
      </c>
      <c r="K26" s="469" t="e">
        <f t="shared" si="1"/>
        <v>#DIV/0!</v>
      </c>
      <c r="L26" s="265"/>
      <c r="M26" s="265"/>
    </row>
    <row r="27" spans="1:13" ht="25.5" customHeight="1" x14ac:dyDescent="0.25">
      <c r="A27" s="798" t="s">
        <v>532</v>
      </c>
      <c r="B27" s="799"/>
      <c r="C27" s="799"/>
      <c r="D27" s="799"/>
      <c r="E27" s="799"/>
      <c r="F27" s="799"/>
      <c r="G27" s="799"/>
      <c r="H27" s="799"/>
      <c r="I27" s="799"/>
      <c r="J27" s="799"/>
      <c r="K27" s="800"/>
    </row>
    <row r="28" spans="1:13" ht="13" x14ac:dyDescent="0.3">
      <c r="A28" s="480">
        <f>Urakkatunnit!A26</f>
        <v>0</v>
      </c>
      <c r="B28" s="481"/>
      <c r="C28" s="481"/>
      <c r="D28" s="348">
        <f>SUM(Urakkatunnit!H26)</f>
        <v>0</v>
      </c>
      <c r="E28" s="470"/>
      <c r="F28" s="475">
        <f t="shared" si="0"/>
        <v>0</v>
      </c>
      <c r="G28" s="476">
        <f>SUM(Urakkatunnit!I26)</f>
        <v>0</v>
      </c>
      <c r="H28" s="477">
        <f>SUM(Välipohjat!M22)</f>
        <v>0</v>
      </c>
      <c r="I28" s="478" t="e">
        <f t="shared" si="2"/>
        <v>#DIV/0!</v>
      </c>
      <c r="J28" s="477">
        <f t="shared" si="3"/>
        <v>0</v>
      </c>
      <c r="K28" s="479" t="e">
        <f t="shared" si="1"/>
        <v>#DIV/0!</v>
      </c>
    </row>
    <row r="29" spans="1:13" ht="13" x14ac:dyDescent="0.3">
      <c r="A29" s="355">
        <f>Urakkatunnit!A27</f>
        <v>0</v>
      </c>
      <c r="B29" s="272"/>
      <c r="C29" s="272"/>
      <c r="D29" s="356">
        <f>SUM(Urakkatunnit!H27)</f>
        <v>0</v>
      </c>
      <c r="E29" s="471"/>
      <c r="F29" s="357">
        <f t="shared" si="0"/>
        <v>0</v>
      </c>
      <c r="G29" s="358">
        <f>SUM(Urakkatunnit!I27)</f>
        <v>0</v>
      </c>
      <c r="H29" s="477">
        <f>SUM(Välipohjat!M23)</f>
        <v>0</v>
      </c>
      <c r="I29" s="360" t="e">
        <f t="shared" si="2"/>
        <v>#DIV/0!</v>
      </c>
      <c r="J29" s="359">
        <f t="shared" si="3"/>
        <v>0</v>
      </c>
      <c r="K29" s="361" t="e">
        <f t="shared" si="1"/>
        <v>#DIV/0!</v>
      </c>
    </row>
    <row r="30" spans="1:13" ht="13" x14ac:dyDescent="0.3">
      <c r="A30" s="355">
        <f>Urakkatunnit!A28</f>
        <v>0</v>
      </c>
      <c r="B30" s="272"/>
      <c r="C30" s="272"/>
      <c r="D30" s="356">
        <f>SUM(Urakkatunnit!H28)</f>
        <v>0</v>
      </c>
      <c r="E30" s="471"/>
      <c r="F30" s="357">
        <f t="shared" si="0"/>
        <v>0</v>
      </c>
      <c r="G30" s="358">
        <f>SUM(Urakkatunnit!I28)</f>
        <v>0</v>
      </c>
      <c r="H30" s="477">
        <f>SUM(Välipohjat!M24)</f>
        <v>0</v>
      </c>
      <c r="I30" s="360" t="e">
        <f t="shared" si="2"/>
        <v>#DIV/0!</v>
      </c>
      <c r="J30" s="359">
        <f t="shared" si="3"/>
        <v>0</v>
      </c>
      <c r="K30" s="361" t="e">
        <f t="shared" si="1"/>
        <v>#DIV/0!</v>
      </c>
    </row>
    <row r="31" spans="1:13" ht="13" x14ac:dyDescent="0.3">
      <c r="A31" s="355">
        <f>Urakkatunnit!A29</f>
        <v>0</v>
      </c>
      <c r="B31" s="482"/>
      <c r="C31" s="482"/>
      <c r="D31" s="356">
        <f>SUM(Urakkatunnit!H29)</f>
        <v>0</v>
      </c>
      <c r="E31" s="472"/>
      <c r="F31" s="357">
        <f t="shared" si="0"/>
        <v>0</v>
      </c>
      <c r="G31" s="358">
        <f>SUM(Urakkatunnit!I29)</f>
        <v>0</v>
      </c>
      <c r="H31" s="477">
        <f>SUM(Välipohjat!M25)</f>
        <v>0</v>
      </c>
      <c r="I31" s="360" t="e">
        <f t="shared" si="2"/>
        <v>#DIV/0!</v>
      </c>
      <c r="J31" s="359">
        <f t="shared" si="3"/>
        <v>0</v>
      </c>
      <c r="K31" s="361" t="e">
        <f t="shared" si="1"/>
        <v>#DIV/0!</v>
      </c>
    </row>
    <row r="32" spans="1:13" ht="12.75" customHeight="1" x14ac:dyDescent="0.3">
      <c r="A32" s="801" t="s">
        <v>475</v>
      </c>
      <c r="B32" s="802"/>
      <c r="C32" s="802"/>
      <c r="D32" s="802"/>
      <c r="E32" s="802"/>
      <c r="F32" s="802"/>
      <c r="G32" s="802"/>
      <c r="H32" s="802"/>
      <c r="I32" s="802"/>
      <c r="J32" s="802"/>
      <c r="K32" s="803"/>
    </row>
    <row r="33" spans="1:13" ht="13" x14ac:dyDescent="0.3">
      <c r="A33" s="552">
        <f>Urakkatunnit!A31</f>
        <v>0</v>
      </c>
      <c r="B33" s="553"/>
      <c r="C33" s="553"/>
      <c r="D33" s="554">
        <f>SUM(Urakkatunnit!B31+Urakkatunnit!D31+Urakkatunnit!F31)</f>
        <v>0</v>
      </c>
      <c r="E33" s="555"/>
      <c r="F33" s="556"/>
      <c r="G33" s="557"/>
      <c r="H33" s="557"/>
      <c r="I33" s="265"/>
      <c r="J33" s="359">
        <f>SUM(Urakkatunnit!I31)</f>
        <v>0</v>
      </c>
      <c r="K33" s="558"/>
    </row>
    <row r="34" spans="1:13" ht="13" x14ac:dyDescent="0.3">
      <c r="A34" s="552">
        <f>Urakkatunnit!A32</f>
        <v>0</v>
      </c>
      <c r="B34" s="482"/>
      <c r="C34" s="482"/>
      <c r="D34" s="554">
        <f>SUM(Urakkatunnit!B32+Urakkatunnit!D32+Urakkatunnit!F32)</f>
        <v>0</v>
      </c>
      <c r="E34" s="559"/>
      <c r="F34" s="465"/>
      <c r="G34" s="466"/>
      <c r="H34" s="466"/>
      <c r="I34" s="468"/>
      <c r="J34" s="359">
        <f>SUM(Urakkatunnit!I32)</f>
        <v>0</v>
      </c>
      <c r="K34" s="469"/>
    </row>
    <row r="35" spans="1:13" ht="13" x14ac:dyDescent="0.3">
      <c r="A35" s="552">
        <f>Urakkatunnit!A33</f>
        <v>0</v>
      </c>
      <c r="B35" s="482"/>
      <c r="C35" s="482"/>
      <c r="D35" s="554">
        <f>SUM(Urakkatunnit!B33+Urakkatunnit!D33+Urakkatunnit!F33)</f>
        <v>0</v>
      </c>
      <c r="E35" s="559"/>
      <c r="F35" s="465"/>
      <c r="G35" s="466"/>
      <c r="H35" s="466"/>
      <c r="I35" s="468"/>
      <c r="J35" s="359">
        <f>SUM(Urakkatunnit!I33)</f>
        <v>0</v>
      </c>
      <c r="K35" s="469"/>
    </row>
    <row r="36" spans="1:13" ht="13.5" thickBot="1" x14ac:dyDescent="0.35">
      <c r="A36" s="552">
        <f>Urakkatunnit!A34</f>
        <v>0</v>
      </c>
      <c r="B36" s="272"/>
      <c r="C36" s="272"/>
      <c r="D36" s="554">
        <f>SUM(Urakkatunnit!B34+Urakkatunnit!D34+Urakkatunnit!F34)</f>
        <v>0</v>
      </c>
      <c r="E36" s="560"/>
      <c r="F36" s="359"/>
      <c r="G36" s="358"/>
      <c r="H36" s="358"/>
      <c r="I36" s="561"/>
      <c r="J36" s="359">
        <f>SUM(Urakkatunnit!I34)</f>
        <v>0</v>
      </c>
      <c r="K36" s="562"/>
    </row>
    <row r="37" spans="1:13" ht="13" thickBot="1" x14ac:dyDescent="0.3">
      <c r="D37" s="453">
        <f>SUM(D12:D31,D33:D36)</f>
        <v>0</v>
      </c>
      <c r="E37" s="449"/>
      <c r="F37" s="450">
        <f t="shared" ref="F37:K37" si="4">SUM(F12:F31)</f>
        <v>0</v>
      </c>
      <c r="G37" s="451">
        <f t="shared" si="4"/>
        <v>0</v>
      </c>
      <c r="H37" s="450">
        <f t="shared" si="4"/>
        <v>0</v>
      </c>
      <c r="I37" s="449" t="e">
        <f t="shared" si="4"/>
        <v>#DIV/0!</v>
      </c>
      <c r="J37" s="450">
        <f>SUM(J12:J31,J33:J36)</f>
        <v>0</v>
      </c>
      <c r="K37" s="452" t="e">
        <f t="shared" si="4"/>
        <v>#DIV/0!</v>
      </c>
      <c r="L37" s="363" t="e">
        <f>SUM(J37:K37)</f>
        <v>#DIV/0!</v>
      </c>
    </row>
    <row r="39" spans="1:13" x14ac:dyDescent="0.25">
      <c r="A39" s="148"/>
      <c r="B39" s="148"/>
      <c r="C39" s="148"/>
      <c r="D39" s="148"/>
      <c r="E39" s="265"/>
      <c r="F39" s="265"/>
      <c r="G39" s="265"/>
      <c r="H39" s="265"/>
      <c r="I39" s="265"/>
      <c r="J39" s="265"/>
      <c r="L39" s="148"/>
      <c r="M39" s="148"/>
    </row>
    <row r="40" spans="1:13" ht="25.5" customHeight="1" x14ac:dyDescent="0.25">
      <c r="K40" s="793"/>
      <c r="L40" s="793"/>
      <c r="M40" s="793"/>
    </row>
    <row r="41" spans="1:13" ht="13" x14ac:dyDescent="0.3">
      <c r="A41" s="419"/>
      <c r="B41" s="148"/>
      <c r="C41" s="148"/>
      <c r="D41" s="148"/>
      <c r="E41" s="148"/>
      <c r="F41" s="148"/>
      <c r="G41" s="148"/>
      <c r="H41" s="148"/>
      <c r="I41" s="148"/>
      <c r="J41" s="148"/>
      <c r="K41" s="109" t="s">
        <v>251</v>
      </c>
    </row>
    <row r="42" spans="1:13" ht="13" x14ac:dyDescent="0.3">
      <c r="A42" s="419" t="s">
        <v>466</v>
      </c>
      <c r="B42" s="148"/>
      <c r="C42" s="148"/>
      <c r="D42" s="148"/>
      <c r="E42" s="148"/>
      <c r="F42" s="148"/>
      <c r="G42" s="148"/>
      <c r="H42" s="148"/>
      <c r="I42" s="148"/>
      <c r="J42" s="148"/>
    </row>
    <row r="43" spans="1:13" x14ac:dyDescent="0.25">
      <c r="A43" s="148" t="s">
        <v>418</v>
      </c>
      <c r="B43" s="148"/>
      <c r="C43" s="148"/>
      <c r="D43" s="148"/>
      <c r="E43" s="148"/>
      <c r="F43" s="148"/>
      <c r="G43" s="148"/>
      <c r="H43" s="148"/>
      <c r="I43" s="148"/>
      <c r="J43" s="148"/>
    </row>
    <row r="44" spans="1:13" x14ac:dyDescent="0.25">
      <c r="A44" s="109" t="s">
        <v>370</v>
      </c>
    </row>
    <row r="45" spans="1:13" x14ac:dyDescent="0.25">
      <c r="A45" s="109" t="s">
        <v>371</v>
      </c>
    </row>
    <row r="46" spans="1:13" x14ac:dyDescent="0.25">
      <c r="A46" s="109" t="s">
        <v>372</v>
      </c>
    </row>
    <row r="47" spans="1:13" x14ac:dyDescent="0.25">
      <c r="A47" s="109" t="s">
        <v>373</v>
      </c>
    </row>
  </sheetData>
  <sheetProtection algorithmName="SHA-512" hashValue="lAsTX5msDRiG7e48b8n+Of3A1v5RVJ71dxG0Uf7QSs7VEEH9D1jyFVpNLylMRJVmDWahl4dtP6iDjssvnccIMw==" saltValue="ob9XswsO3XGJP/fbF9PEcQ==" spinCount="100000" sheet="1"/>
  <mergeCells count="9">
    <mergeCell ref="A2:M2"/>
    <mergeCell ref="D4:G4"/>
    <mergeCell ref="E10:E11"/>
    <mergeCell ref="D6:G6"/>
    <mergeCell ref="K40:M40"/>
    <mergeCell ref="D7:G7"/>
    <mergeCell ref="D8:G8"/>
    <mergeCell ref="A27:K27"/>
    <mergeCell ref="A32:K32"/>
  </mergeCells>
  <hyperlinks>
    <hyperlink ref="A1" location="Etusivu!A1" tooltip="Tästä pääset etusivulle" display="Etusivu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244"/>
  <sheetViews>
    <sheetView workbookViewId="0">
      <selection activeCell="N4" sqref="N4"/>
    </sheetView>
  </sheetViews>
  <sheetFormatPr defaultRowHeight="12.5" x14ac:dyDescent="0.25"/>
  <cols>
    <col min="1" max="1" width="7.453125" customWidth="1"/>
    <col min="2" max="14" width="7.26953125" customWidth="1"/>
    <col min="15" max="15" width="7.81640625" customWidth="1"/>
    <col min="16" max="16" width="8.81640625" bestFit="1" customWidth="1"/>
    <col min="17" max="17" width="7.26953125" customWidth="1"/>
    <col min="18" max="18" width="10.26953125" bestFit="1" customWidth="1"/>
    <col min="19" max="19" width="7.26953125" customWidth="1"/>
  </cols>
  <sheetData>
    <row r="1" spans="1:44" ht="21" customHeight="1" x14ac:dyDescent="0.25">
      <c r="A1" s="109"/>
      <c r="B1" s="109"/>
      <c r="C1" s="109"/>
      <c r="D1" s="109"/>
      <c r="E1" s="109"/>
      <c r="F1" s="109"/>
      <c r="G1" s="109"/>
      <c r="H1" s="301"/>
      <c r="I1" s="109"/>
      <c r="J1" s="301"/>
      <c r="K1" s="109"/>
      <c r="L1" s="109"/>
      <c r="M1" s="109"/>
      <c r="N1" s="301"/>
      <c r="O1" s="109"/>
      <c r="P1" s="301"/>
      <c r="Q1" s="109"/>
      <c r="R1" s="109"/>
      <c r="S1" s="137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</row>
    <row r="2" spans="1:44" ht="33" thickBot="1" x14ac:dyDescent="0.7">
      <c r="A2" s="145" t="s">
        <v>240</v>
      </c>
      <c r="B2" s="144"/>
      <c r="C2" s="145" t="s">
        <v>73</v>
      </c>
      <c r="D2" s="144"/>
      <c r="E2" s="146"/>
      <c r="F2" s="146"/>
      <c r="G2" s="147"/>
      <c r="H2" s="133"/>
      <c r="I2" s="133"/>
      <c r="J2" s="133"/>
      <c r="K2" s="109"/>
      <c r="L2" s="109"/>
      <c r="M2" s="109"/>
      <c r="N2" s="137"/>
      <c r="O2" s="109"/>
      <c r="P2" s="137"/>
      <c r="Q2" s="142"/>
      <c r="R2" s="143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4" x14ac:dyDescent="0.2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</row>
    <row r="4" spans="1:44" x14ac:dyDescent="0.2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325" t="s">
        <v>234</v>
      </c>
      <c r="O4" s="109"/>
      <c r="P4" s="325" t="s">
        <v>299</v>
      </c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</row>
    <row r="5" spans="1:44" x14ac:dyDescent="0.25">
      <c r="A5" s="109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</row>
    <row r="6" spans="1:44" ht="16" thickBot="1" x14ac:dyDescent="0.4">
      <c r="A6" s="139" t="s">
        <v>257</v>
      </c>
      <c r="B6" s="112"/>
      <c r="C6" s="112"/>
      <c r="D6" s="112"/>
      <c r="E6" s="112"/>
      <c r="F6" s="140"/>
      <c r="G6" s="112"/>
      <c r="H6" s="112"/>
      <c r="I6" s="109"/>
      <c r="J6" s="757"/>
      <c r="K6" s="757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</row>
    <row r="7" spans="1:44" x14ac:dyDescent="0.25">
      <c r="A7" s="109"/>
      <c r="B7" s="109" t="s">
        <v>252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</row>
    <row r="8" spans="1:44" x14ac:dyDescent="0.25">
      <c r="A8" s="99" t="s">
        <v>256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99" t="s">
        <v>253</v>
      </c>
      <c r="P8" s="101" t="s">
        <v>254</v>
      </c>
      <c r="Q8" s="99" t="s">
        <v>255</v>
      </c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</row>
    <row r="9" spans="1:44" x14ac:dyDescent="0.25">
      <c r="A9" s="99">
        <v>-125</v>
      </c>
      <c r="B9" s="307"/>
      <c r="C9" s="307"/>
      <c r="D9" s="307"/>
      <c r="E9" s="307"/>
      <c r="F9" s="307"/>
      <c r="G9" s="307"/>
      <c r="H9" s="307"/>
      <c r="I9" s="307"/>
      <c r="J9" s="307"/>
      <c r="K9" s="308"/>
      <c r="L9" s="308"/>
      <c r="M9" s="308"/>
      <c r="N9" s="308"/>
      <c r="O9" s="102">
        <f>SUM(B9:N9)</f>
        <v>0</v>
      </c>
      <c r="P9" s="309"/>
      <c r="Q9" s="102">
        <f>O9-P9</f>
        <v>0</v>
      </c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</row>
    <row r="10" spans="1:44" x14ac:dyDescent="0.25">
      <c r="A10" s="99">
        <v>-200</v>
      </c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102">
        <f t="shared" ref="O10:O18" si="0">SUM(B10:N10)</f>
        <v>0</v>
      </c>
      <c r="P10" s="309"/>
      <c r="Q10" s="102">
        <f t="shared" ref="Q10:Q18" si="1">O10-P10</f>
        <v>0</v>
      </c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</row>
    <row r="11" spans="1:44" x14ac:dyDescent="0.25">
      <c r="A11" s="99">
        <v>250</v>
      </c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102">
        <f t="shared" si="0"/>
        <v>0</v>
      </c>
      <c r="P11" s="309"/>
      <c r="Q11" s="102">
        <f t="shared" si="1"/>
        <v>0</v>
      </c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</row>
    <row r="12" spans="1:44" x14ac:dyDescent="0.25">
      <c r="A12" s="99">
        <v>315</v>
      </c>
      <c r="B12" s="308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102">
        <f t="shared" si="0"/>
        <v>0</v>
      </c>
      <c r="P12" s="309"/>
      <c r="Q12" s="102">
        <f t="shared" si="1"/>
        <v>0</v>
      </c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</row>
    <row r="13" spans="1:44" x14ac:dyDescent="0.25">
      <c r="A13" s="99">
        <v>400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102">
        <f t="shared" si="0"/>
        <v>0</v>
      </c>
      <c r="P13" s="309"/>
      <c r="Q13" s="102">
        <f t="shared" si="1"/>
        <v>0</v>
      </c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</row>
    <row r="14" spans="1:44" x14ac:dyDescent="0.25">
      <c r="A14" s="99">
        <v>500</v>
      </c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102">
        <f t="shared" si="0"/>
        <v>0</v>
      </c>
      <c r="P14" s="309"/>
      <c r="Q14" s="102">
        <f t="shared" si="1"/>
        <v>0</v>
      </c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</row>
    <row r="15" spans="1:44" x14ac:dyDescent="0.25">
      <c r="A15" s="99">
        <v>630</v>
      </c>
      <c r="B15" s="308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102">
        <f t="shared" si="0"/>
        <v>0</v>
      </c>
      <c r="P15" s="309"/>
      <c r="Q15" s="102">
        <f t="shared" si="1"/>
        <v>0</v>
      </c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</row>
    <row r="16" spans="1:44" x14ac:dyDescent="0.25">
      <c r="A16" s="99">
        <v>800</v>
      </c>
      <c r="B16" s="308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102">
        <f t="shared" si="0"/>
        <v>0</v>
      </c>
      <c r="P16" s="309"/>
      <c r="Q16" s="102">
        <f t="shared" si="1"/>
        <v>0</v>
      </c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</row>
    <row r="17" spans="1:44" x14ac:dyDescent="0.25">
      <c r="A17" s="99">
        <v>1000</v>
      </c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102">
        <f t="shared" si="0"/>
        <v>0</v>
      </c>
      <c r="P17" s="309"/>
      <c r="Q17" s="102">
        <f t="shared" si="1"/>
        <v>0</v>
      </c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</row>
    <row r="18" spans="1:44" ht="14.25" customHeight="1" x14ac:dyDescent="0.25">
      <c r="A18" s="99">
        <v>1250</v>
      </c>
      <c r="B18" s="308"/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102">
        <f t="shared" si="0"/>
        <v>0</v>
      </c>
      <c r="P18" s="309"/>
      <c r="Q18" s="102">
        <f t="shared" si="1"/>
        <v>0</v>
      </c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</row>
    <row r="19" spans="1:44" x14ac:dyDescent="0.25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</row>
    <row r="20" spans="1:44" ht="11.25" customHeight="1" x14ac:dyDescent="0.25">
      <c r="A20" s="109"/>
      <c r="B20" s="109"/>
      <c r="C20" s="109"/>
      <c r="D20" s="109"/>
      <c r="E20" s="109"/>
      <c r="F20" s="109"/>
      <c r="G20" s="109"/>
      <c r="H20" s="301"/>
      <c r="I20" s="109"/>
      <c r="J20" s="301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</row>
    <row r="21" spans="1:44" ht="15" customHeight="1" x14ac:dyDescent="0.25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</row>
    <row r="22" spans="1:44" ht="15.75" customHeight="1" x14ac:dyDescent="0.25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</row>
    <row r="23" spans="1:44" ht="15.75" customHeight="1" thickBot="1" x14ac:dyDescent="0.35">
      <c r="A23" s="139" t="s">
        <v>258</v>
      </c>
      <c r="B23" s="112"/>
      <c r="C23" s="112"/>
      <c r="D23" s="112"/>
      <c r="E23" s="112"/>
      <c r="F23" s="140"/>
      <c r="G23" s="112"/>
      <c r="H23" s="112"/>
      <c r="I23" s="112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</row>
    <row r="24" spans="1:44" ht="15.75" customHeight="1" x14ac:dyDescent="0.25">
      <c r="A24" s="109"/>
      <c r="B24" s="109" t="s">
        <v>252</v>
      </c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</row>
    <row r="25" spans="1:44" ht="15.75" customHeight="1" x14ac:dyDescent="0.25">
      <c r="A25" s="99" t="s">
        <v>256</v>
      </c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99" t="s">
        <v>253</v>
      </c>
      <c r="P25" s="101" t="s">
        <v>254</v>
      </c>
      <c r="Q25" s="99" t="s">
        <v>255</v>
      </c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</row>
    <row r="26" spans="1:44" ht="15.75" customHeight="1" x14ac:dyDescent="0.25">
      <c r="A26" s="99">
        <v>-125</v>
      </c>
      <c r="B26" s="307"/>
      <c r="C26" s="307" t="s">
        <v>67</v>
      </c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102">
        <f>SUM(B26:N26)</f>
        <v>0</v>
      </c>
      <c r="P26" s="309"/>
      <c r="Q26" s="102">
        <f>O26-P26</f>
        <v>0</v>
      </c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</row>
    <row r="27" spans="1:44" ht="15.75" customHeight="1" x14ac:dyDescent="0.25">
      <c r="A27" s="99">
        <v>-200</v>
      </c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102">
        <f t="shared" ref="O27:O35" si="2">SUM(B27:N27)</f>
        <v>0</v>
      </c>
      <c r="P27" s="309"/>
      <c r="Q27" s="102">
        <f t="shared" ref="Q27:Q35" si="3">O27-P27</f>
        <v>0</v>
      </c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</row>
    <row r="28" spans="1:44" ht="15.75" customHeight="1" x14ac:dyDescent="0.25">
      <c r="A28" s="99">
        <v>250</v>
      </c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102">
        <f t="shared" si="2"/>
        <v>0</v>
      </c>
      <c r="P28" s="309"/>
      <c r="Q28" s="102">
        <f t="shared" si="3"/>
        <v>0</v>
      </c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</row>
    <row r="29" spans="1:44" ht="15.75" customHeight="1" x14ac:dyDescent="0.25">
      <c r="A29" s="99">
        <v>315</v>
      </c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102">
        <f t="shared" si="2"/>
        <v>0</v>
      </c>
      <c r="P29" s="309"/>
      <c r="Q29" s="102">
        <f t="shared" si="3"/>
        <v>0</v>
      </c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</row>
    <row r="30" spans="1:44" ht="15.75" customHeight="1" x14ac:dyDescent="0.25">
      <c r="A30" s="99">
        <v>400</v>
      </c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102">
        <f t="shared" si="2"/>
        <v>0</v>
      </c>
      <c r="P30" s="309"/>
      <c r="Q30" s="102">
        <f t="shared" si="3"/>
        <v>0</v>
      </c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</row>
    <row r="31" spans="1:44" ht="15.75" customHeight="1" x14ac:dyDescent="0.25">
      <c r="A31" s="99">
        <v>500</v>
      </c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102">
        <f t="shared" si="2"/>
        <v>0</v>
      </c>
      <c r="P31" s="309"/>
      <c r="Q31" s="102">
        <f t="shared" si="3"/>
        <v>0</v>
      </c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</row>
    <row r="32" spans="1:44" x14ac:dyDescent="0.25">
      <c r="A32" s="99">
        <v>630</v>
      </c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102">
        <f t="shared" si="2"/>
        <v>0</v>
      </c>
      <c r="P32" s="309"/>
      <c r="Q32" s="102">
        <f t="shared" si="3"/>
        <v>0</v>
      </c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</row>
    <row r="33" spans="1:44" x14ac:dyDescent="0.25">
      <c r="A33" s="99">
        <v>800</v>
      </c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102">
        <f t="shared" si="2"/>
        <v>0</v>
      </c>
      <c r="P33" s="309"/>
      <c r="Q33" s="102">
        <f t="shared" si="3"/>
        <v>0</v>
      </c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</row>
    <row r="34" spans="1:44" x14ac:dyDescent="0.25">
      <c r="A34" s="99">
        <v>1000</v>
      </c>
      <c r="B34" s="308"/>
      <c r="C34" s="308"/>
      <c r="D34" s="308"/>
      <c r="E34" s="308"/>
      <c r="F34" s="308"/>
      <c r="G34" s="308"/>
      <c r="H34" s="310"/>
      <c r="I34" s="310"/>
      <c r="J34" s="308"/>
      <c r="K34" s="308"/>
      <c r="L34" s="308"/>
      <c r="M34" s="308"/>
      <c r="N34" s="308"/>
      <c r="O34" s="102">
        <f t="shared" si="2"/>
        <v>0</v>
      </c>
      <c r="P34" s="309"/>
      <c r="Q34" s="102">
        <f t="shared" si="3"/>
        <v>0</v>
      </c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</row>
    <row r="35" spans="1:44" x14ac:dyDescent="0.25">
      <c r="A35" s="99">
        <v>1250</v>
      </c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102">
        <f t="shared" si="2"/>
        <v>0</v>
      </c>
      <c r="P35" s="309"/>
      <c r="Q35" s="102">
        <f t="shared" si="3"/>
        <v>0</v>
      </c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</row>
    <row r="36" spans="1:44" x14ac:dyDescent="0.25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</row>
    <row r="37" spans="1:44" x14ac:dyDescent="0.25">
      <c r="A37" s="109"/>
      <c r="B37" s="109"/>
      <c r="C37" s="109"/>
      <c r="D37" s="109"/>
      <c r="E37" s="109"/>
      <c r="F37" s="109"/>
      <c r="G37" s="109"/>
      <c r="H37" s="301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</row>
    <row r="38" spans="1:44" x14ac:dyDescent="0.25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325" t="s">
        <v>234</v>
      </c>
      <c r="O38" s="109"/>
      <c r="P38" s="325" t="s">
        <v>299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</row>
    <row r="39" spans="1:44" x14ac:dyDescent="0.25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</row>
    <row r="40" spans="1:44" ht="13.5" thickBot="1" x14ac:dyDescent="0.35">
      <c r="A40" s="141" t="s">
        <v>423</v>
      </c>
      <c r="B40" s="112"/>
      <c r="C40" s="112"/>
      <c r="D40" s="112"/>
      <c r="E40" s="112"/>
      <c r="F40" s="112"/>
      <c r="G40" s="112"/>
      <c r="H40" s="112"/>
      <c r="I40" s="112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</row>
    <row r="41" spans="1:44" x14ac:dyDescent="0.25">
      <c r="A41" s="109"/>
      <c r="B41" s="109" t="s">
        <v>252</v>
      </c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</row>
    <row r="42" spans="1:44" x14ac:dyDescent="0.25">
      <c r="A42" s="99" t="s">
        <v>256</v>
      </c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99" t="s">
        <v>253</v>
      </c>
      <c r="P42" s="101" t="s">
        <v>254</v>
      </c>
      <c r="Q42" s="99" t="s">
        <v>255</v>
      </c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</row>
    <row r="43" spans="1:44" x14ac:dyDescent="0.25">
      <c r="A43" s="99">
        <v>-125</v>
      </c>
      <c r="B43" s="307"/>
      <c r="C43" s="307" t="s">
        <v>67</v>
      </c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102">
        <f>SUM(B43:N43)</f>
        <v>0</v>
      </c>
      <c r="P43" s="309"/>
      <c r="Q43" s="102">
        <f>O43-P43</f>
        <v>0</v>
      </c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</row>
    <row r="44" spans="1:44" x14ac:dyDescent="0.25">
      <c r="A44" s="99">
        <v>-200</v>
      </c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102">
        <f t="shared" ref="O44:O52" si="4">SUM(B44:N44)</f>
        <v>0</v>
      </c>
      <c r="P44" s="309"/>
      <c r="Q44" s="102">
        <f t="shared" ref="Q44:Q52" si="5">O44-P44</f>
        <v>0</v>
      </c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</row>
    <row r="45" spans="1:44" x14ac:dyDescent="0.25">
      <c r="A45" s="99">
        <v>250</v>
      </c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102">
        <f t="shared" si="4"/>
        <v>0</v>
      </c>
      <c r="P45" s="309"/>
      <c r="Q45" s="102">
        <f t="shared" si="5"/>
        <v>0</v>
      </c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</row>
    <row r="46" spans="1:44" x14ac:dyDescent="0.25">
      <c r="A46" s="99">
        <v>315</v>
      </c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102">
        <f t="shared" si="4"/>
        <v>0</v>
      </c>
      <c r="P46" s="309"/>
      <c r="Q46" s="102">
        <f t="shared" si="5"/>
        <v>0</v>
      </c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</row>
    <row r="47" spans="1:44" x14ac:dyDescent="0.25">
      <c r="A47" s="99">
        <v>400</v>
      </c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08"/>
      <c r="O47" s="102">
        <f t="shared" si="4"/>
        <v>0</v>
      </c>
      <c r="P47" s="309"/>
      <c r="Q47" s="102">
        <f t="shared" si="5"/>
        <v>0</v>
      </c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</row>
    <row r="48" spans="1:44" x14ac:dyDescent="0.25">
      <c r="A48" s="99">
        <v>500</v>
      </c>
      <c r="B48" s="308"/>
      <c r="C48" s="308"/>
      <c r="D48" s="308"/>
      <c r="E48" s="308"/>
      <c r="F48" s="308"/>
      <c r="G48" s="308"/>
      <c r="H48" s="308"/>
      <c r="I48" s="308"/>
      <c r="J48" s="308"/>
      <c r="K48" s="308"/>
      <c r="L48" s="308"/>
      <c r="M48" s="308"/>
      <c r="N48" s="308"/>
      <c r="O48" s="102">
        <f t="shared" si="4"/>
        <v>0</v>
      </c>
      <c r="P48" s="309"/>
      <c r="Q48" s="102">
        <f t="shared" si="5"/>
        <v>0</v>
      </c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</row>
    <row r="49" spans="1:44" x14ac:dyDescent="0.25">
      <c r="A49" s="99">
        <v>630</v>
      </c>
      <c r="B49" s="308"/>
      <c r="C49" s="308"/>
      <c r="D49" s="308"/>
      <c r="E49" s="308"/>
      <c r="F49" s="308"/>
      <c r="G49" s="308"/>
      <c r="H49" s="308"/>
      <c r="I49" s="308"/>
      <c r="J49" s="308"/>
      <c r="K49" s="308"/>
      <c r="L49" s="308"/>
      <c r="M49" s="308"/>
      <c r="N49" s="308"/>
      <c r="O49" s="102">
        <f t="shared" si="4"/>
        <v>0</v>
      </c>
      <c r="P49" s="309"/>
      <c r="Q49" s="102">
        <f t="shared" si="5"/>
        <v>0</v>
      </c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</row>
    <row r="50" spans="1:44" x14ac:dyDescent="0.25">
      <c r="A50" s="99">
        <v>800</v>
      </c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08"/>
      <c r="O50" s="102">
        <f t="shared" si="4"/>
        <v>0</v>
      </c>
      <c r="P50" s="309"/>
      <c r="Q50" s="102">
        <f t="shared" si="5"/>
        <v>0</v>
      </c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</row>
    <row r="51" spans="1:44" x14ac:dyDescent="0.25">
      <c r="A51" s="99">
        <v>1000</v>
      </c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102">
        <f t="shared" si="4"/>
        <v>0</v>
      </c>
      <c r="P51" s="309"/>
      <c r="Q51" s="102">
        <f t="shared" si="5"/>
        <v>0</v>
      </c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</row>
    <row r="52" spans="1:44" x14ac:dyDescent="0.25">
      <c r="A52" s="99">
        <v>1250</v>
      </c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102">
        <f t="shared" si="4"/>
        <v>0</v>
      </c>
      <c r="P52" s="309"/>
      <c r="Q52" s="102">
        <f t="shared" si="5"/>
        <v>0</v>
      </c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25">
      <c r="A53" s="109"/>
      <c r="B53" s="109"/>
      <c r="C53" s="109"/>
      <c r="D53" s="109"/>
      <c r="E53" s="109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</row>
    <row r="54" spans="1:44" ht="13.5" customHeight="1" thickBot="1" x14ac:dyDescent="0.35">
      <c r="A54" s="141" t="s">
        <v>506</v>
      </c>
      <c r="B54" s="112"/>
      <c r="C54" s="112"/>
      <c r="D54" s="112"/>
      <c r="E54" s="112"/>
      <c r="F54" s="635"/>
      <c r="G54" s="633"/>
      <c r="H54" s="633"/>
      <c r="I54" s="633"/>
      <c r="J54" s="633"/>
      <c r="K54" s="633"/>
      <c r="L54" s="633"/>
      <c r="M54" s="633"/>
      <c r="N54" s="633"/>
      <c r="O54" s="633"/>
      <c r="P54" s="633"/>
      <c r="Q54" s="633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</row>
    <row r="55" spans="1:44" ht="13" x14ac:dyDescent="0.25">
      <c r="A55" s="109"/>
      <c r="B55" s="109" t="s">
        <v>252</v>
      </c>
      <c r="C55" s="109"/>
      <c r="D55" s="109"/>
      <c r="E55" s="148"/>
      <c r="G55" s="634" t="s">
        <v>507</v>
      </c>
      <c r="H55" s="634"/>
      <c r="I55" s="634"/>
      <c r="J55" s="634"/>
      <c r="K55" s="634"/>
      <c r="L55" s="634"/>
      <c r="M55" s="634"/>
      <c r="N55" s="634"/>
      <c r="O55" s="634"/>
      <c r="P55" s="634"/>
      <c r="Q55" s="634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</row>
    <row r="56" spans="1:44" x14ac:dyDescent="0.25">
      <c r="A56" s="99" t="s">
        <v>256</v>
      </c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99" t="s">
        <v>253</v>
      </c>
      <c r="P56" s="101" t="s">
        <v>254</v>
      </c>
      <c r="Q56" s="99" t="s">
        <v>255</v>
      </c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</row>
    <row r="57" spans="1:44" x14ac:dyDescent="0.25">
      <c r="A57" s="99">
        <v>-125</v>
      </c>
      <c r="B57" s="307"/>
      <c r="C57" s="307" t="s">
        <v>67</v>
      </c>
      <c r="D57" s="308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102">
        <f>SUM(B57:N57)</f>
        <v>0</v>
      </c>
      <c r="P57" s="309"/>
      <c r="Q57" s="102">
        <f>O57-P57</f>
        <v>0</v>
      </c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</row>
    <row r="58" spans="1:44" x14ac:dyDescent="0.25">
      <c r="A58" s="99">
        <v>-200</v>
      </c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102">
        <f t="shared" ref="O58:O66" si="6">SUM(B58:N58)</f>
        <v>0</v>
      </c>
      <c r="P58" s="309"/>
      <c r="Q58" s="102">
        <f t="shared" ref="Q58:Q66" si="7">O58-P58</f>
        <v>0</v>
      </c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</row>
    <row r="59" spans="1:44" x14ac:dyDescent="0.25">
      <c r="A59" s="99">
        <v>250</v>
      </c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  <c r="M59" s="308"/>
      <c r="N59" s="308"/>
      <c r="O59" s="102">
        <f t="shared" si="6"/>
        <v>0</v>
      </c>
      <c r="P59" s="309"/>
      <c r="Q59" s="102">
        <f t="shared" si="7"/>
        <v>0</v>
      </c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</row>
    <row r="60" spans="1:44" x14ac:dyDescent="0.25">
      <c r="A60" s="99">
        <v>315</v>
      </c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102">
        <f t="shared" si="6"/>
        <v>0</v>
      </c>
      <c r="P60" s="309"/>
      <c r="Q60" s="102">
        <f t="shared" si="7"/>
        <v>0</v>
      </c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</row>
    <row r="61" spans="1:44" x14ac:dyDescent="0.25">
      <c r="A61" s="99">
        <v>400</v>
      </c>
      <c r="B61" s="308"/>
      <c r="C61" s="308"/>
      <c r="D61" s="308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102">
        <f t="shared" si="6"/>
        <v>0</v>
      </c>
      <c r="P61" s="309"/>
      <c r="Q61" s="102">
        <f t="shared" si="7"/>
        <v>0</v>
      </c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</row>
    <row r="62" spans="1:44" x14ac:dyDescent="0.25">
      <c r="A62" s="99">
        <v>500</v>
      </c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102">
        <f t="shared" si="6"/>
        <v>0</v>
      </c>
      <c r="P62" s="309"/>
      <c r="Q62" s="102">
        <f t="shared" si="7"/>
        <v>0</v>
      </c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</row>
    <row r="63" spans="1:44" x14ac:dyDescent="0.25">
      <c r="A63" s="99">
        <v>630</v>
      </c>
      <c r="B63" s="308"/>
      <c r="C63" s="308"/>
      <c r="D63" s="308"/>
      <c r="E63" s="308"/>
      <c r="F63" s="308"/>
      <c r="G63" s="308"/>
      <c r="H63" s="308"/>
      <c r="I63" s="308"/>
      <c r="J63" s="308"/>
      <c r="K63" s="308"/>
      <c r="L63" s="308"/>
      <c r="M63" s="308"/>
      <c r="N63" s="308"/>
      <c r="O63" s="102">
        <f t="shared" si="6"/>
        <v>0</v>
      </c>
      <c r="P63" s="309"/>
      <c r="Q63" s="102">
        <f t="shared" si="7"/>
        <v>0</v>
      </c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</row>
    <row r="64" spans="1:44" x14ac:dyDescent="0.25">
      <c r="A64" s="99">
        <v>800</v>
      </c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08"/>
      <c r="O64" s="102">
        <f t="shared" si="6"/>
        <v>0</v>
      </c>
      <c r="P64" s="309"/>
      <c r="Q64" s="102">
        <f t="shared" si="7"/>
        <v>0</v>
      </c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</row>
    <row r="65" spans="1:44" x14ac:dyDescent="0.25">
      <c r="A65" s="99">
        <v>1000</v>
      </c>
      <c r="B65" s="308"/>
      <c r="C65" s="308"/>
      <c r="D65" s="308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122">
        <f>SUM(B65:N65)</f>
        <v>0</v>
      </c>
      <c r="P65" s="309"/>
      <c r="Q65" s="122">
        <f>SUM(O65-P65)</f>
        <v>0</v>
      </c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</row>
    <row r="66" spans="1:44" x14ac:dyDescent="0.25">
      <c r="A66" s="99">
        <v>1250</v>
      </c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102">
        <f t="shared" si="6"/>
        <v>0</v>
      </c>
      <c r="P66" s="309"/>
      <c r="Q66" s="102">
        <f t="shared" si="7"/>
        <v>0</v>
      </c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</row>
    <row r="67" spans="1:44" x14ac:dyDescent="0.25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</row>
    <row r="68" spans="1:44" ht="13.5" thickBot="1" x14ac:dyDescent="0.35">
      <c r="A68" s="141" t="s">
        <v>529</v>
      </c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09"/>
      <c r="M68" s="109"/>
      <c r="N68" s="325"/>
      <c r="O68" s="109"/>
      <c r="P68" s="325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</row>
    <row r="69" spans="1:44" x14ac:dyDescent="0.25">
      <c r="A69" s="109"/>
      <c r="B69" s="109" t="s">
        <v>252</v>
      </c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</row>
    <row r="70" spans="1:44" x14ac:dyDescent="0.25">
      <c r="A70" s="99" t="s">
        <v>256</v>
      </c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99" t="s">
        <v>253</v>
      </c>
      <c r="P70" s="101" t="s">
        <v>254</v>
      </c>
      <c r="Q70" s="99" t="s">
        <v>255</v>
      </c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</row>
    <row r="71" spans="1:44" x14ac:dyDescent="0.25">
      <c r="A71" s="99">
        <v>-125</v>
      </c>
      <c r="B71" s="307"/>
      <c r="C71" s="307" t="s">
        <v>67</v>
      </c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102">
        <f>SUM(B71:N71)</f>
        <v>0</v>
      </c>
      <c r="P71" s="309"/>
      <c r="Q71" s="102">
        <f>O71-P71</f>
        <v>0</v>
      </c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</row>
    <row r="72" spans="1:44" x14ac:dyDescent="0.25">
      <c r="A72" s="99">
        <v>-200</v>
      </c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102">
        <f t="shared" ref="O72:O80" si="8">SUM(B72:N72)</f>
        <v>0</v>
      </c>
      <c r="P72" s="309"/>
      <c r="Q72" s="102">
        <f t="shared" ref="Q72:Q80" si="9">O72-P72</f>
        <v>0</v>
      </c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</row>
    <row r="73" spans="1:44" x14ac:dyDescent="0.25">
      <c r="A73" s="99">
        <v>250</v>
      </c>
      <c r="B73" s="308"/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308"/>
      <c r="N73" s="308"/>
      <c r="O73" s="102">
        <f t="shared" si="8"/>
        <v>0</v>
      </c>
      <c r="P73" s="309"/>
      <c r="Q73" s="102">
        <f t="shared" si="9"/>
        <v>0</v>
      </c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</row>
    <row r="74" spans="1:44" x14ac:dyDescent="0.25">
      <c r="A74" s="99">
        <v>315</v>
      </c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102">
        <f t="shared" si="8"/>
        <v>0</v>
      </c>
      <c r="P74" s="309"/>
      <c r="Q74" s="102">
        <f t="shared" si="9"/>
        <v>0</v>
      </c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</row>
    <row r="75" spans="1:44" x14ac:dyDescent="0.25">
      <c r="A75" s="99">
        <v>400</v>
      </c>
      <c r="B75" s="308"/>
      <c r="C75" s="308"/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102">
        <f t="shared" si="8"/>
        <v>0</v>
      </c>
      <c r="P75" s="309"/>
      <c r="Q75" s="102">
        <f t="shared" si="9"/>
        <v>0</v>
      </c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</row>
    <row r="76" spans="1:44" x14ac:dyDescent="0.25">
      <c r="A76" s="99">
        <v>500</v>
      </c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08"/>
      <c r="O76" s="102">
        <f t="shared" si="8"/>
        <v>0</v>
      </c>
      <c r="P76" s="309"/>
      <c r="Q76" s="102">
        <f t="shared" si="9"/>
        <v>0</v>
      </c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</row>
    <row r="77" spans="1:44" x14ac:dyDescent="0.25">
      <c r="A77" s="99">
        <v>630</v>
      </c>
      <c r="B77" s="308"/>
      <c r="C77" s="308"/>
      <c r="D77" s="308"/>
      <c r="E77" s="308"/>
      <c r="F77" s="308"/>
      <c r="G77" s="308"/>
      <c r="H77" s="308"/>
      <c r="I77" s="308"/>
      <c r="J77" s="308"/>
      <c r="K77" s="308"/>
      <c r="L77" s="308"/>
      <c r="M77" s="308"/>
      <c r="N77" s="308"/>
      <c r="O77" s="102">
        <f t="shared" si="8"/>
        <v>0</v>
      </c>
      <c r="P77" s="309"/>
      <c r="Q77" s="102">
        <f t="shared" si="9"/>
        <v>0</v>
      </c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</row>
    <row r="78" spans="1:44" x14ac:dyDescent="0.25">
      <c r="A78" s="99">
        <v>800</v>
      </c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08"/>
      <c r="O78" s="102">
        <f t="shared" si="8"/>
        <v>0</v>
      </c>
      <c r="P78" s="309"/>
      <c r="Q78" s="102">
        <f t="shared" si="9"/>
        <v>0</v>
      </c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</row>
    <row r="79" spans="1:44" x14ac:dyDescent="0.25">
      <c r="A79" s="99">
        <v>1000</v>
      </c>
      <c r="B79" s="308"/>
      <c r="C79" s="308"/>
      <c r="D79" s="308"/>
      <c r="E79" s="308"/>
      <c r="F79" s="308"/>
      <c r="G79" s="308"/>
      <c r="H79" s="308"/>
      <c r="I79" s="308"/>
      <c r="J79" s="308"/>
      <c r="K79" s="308"/>
      <c r="L79" s="308"/>
      <c r="M79" s="308"/>
      <c r="N79" s="308"/>
      <c r="O79" s="102">
        <f t="shared" si="8"/>
        <v>0</v>
      </c>
      <c r="P79" s="309"/>
      <c r="Q79" s="102">
        <f t="shared" si="9"/>
        <v>0</v>
      </c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</row>
    <row r="80" spans="1:44" x14ac:dyDescent="0.25">
      <c r="A80" s="99">
        <v>1250</v>
      </c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08"/>
      <c r="O80" s="102">
        <f t="shared" si="8"/>
        <v>0</v>
      </c>
      <c r="P80" s="309"/>
      <c r="Q80" s="102">
        <f t="shared" si="9"/>
        <v>0</v>
      </c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</row>
    <row r="81" spans="1:44" x14ac:dyDescent="0.25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</row>
    <row r="82" spans="1:44" ht="13.5" thickBot="1" x14ac:dyDescent="0.35">
      <c r="A82" s="141" t="s">
        <v>259</v>
      </c>
      <c r="B82" s="112"/>
      <c r="C82" s="112"/>
      <c r="D82" s="112"/>
      <c r="E82" s="112"/>
      <c r="F82" s="112"/>
      <c r="G82" s="112"/>
      <c r="H82" s="112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</row>
    <row r="83" spans="1:44" x14ac:dyDescent="0.25">
      <c r="A83" s="109"/>
      <c r="B83" s="109" t="s">
        <v>252</v>
      </c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</row>
    <row r="84" spans="1:44" x14ac:dyDescent="0.25">
      <c r="A84" s="99" t="s">
        <v>256</v>
      </c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99" t="s">
        <v>253</v>
      </c>
      <c r="P84" s="101" t="s">
        <v>254</v>
      </c>
      <c r="Q84" s="99" t="s">
        <v>255</v>
      </c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</row>
    <row r="85" spans="1:44" x14ac:dyDescent="0.25">
      <c r="A85" s="99">
        <v>-125</v>
      </c>
      <c r="B85" s="307"/>
      <c r="C85" s="307" t="s">
        <v>67</v>
      </c>
      <c r="D85" s="308"/>
      <c r="E85" s="308"/>
      <c r="F85" s="308"/>
      <c r="G85" s="308"/>
      <c r="H85" s="308"/>
      <c r="I85" s="308"/>
      <c r="J85" s="308"/>
      <c r="K85" s="308"/>
      <c r="L85" s="308"/>
      <c r="M85" s="308"/>
      <c r="N85" s="308"/>
      <c r="O85" s="102">
        <f>SUM(B85:N85)</f>
        <v>0</v>
      </c>
      <c r="P85" s="309"/>
      <c r="Q85" s="102">
        <f>O85-P85</f>
        <v>0</v>
      </c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</row>
    <row r="86" spans="1:44" x14ac:dyDescent="0.25">
      <c r="A86" s="99">
        <v>-200</v>
      </c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102">
        <f t="shared" ref="O86:O94" si="10">SUM(B86:N86)</f>
        <v>0</v>
      </c>
      <c r="P86" s="309"/>
      <c r="Q86" s="102">
        <f t="shared" ref="Q86:Q94" si="11">O86-P86</f>
        <v>0</v>
      </c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</row>
    <row r="87" spans="1:44" x14ac:dyDescent="0.25">
      <c r="A87" s="99">
        <v>250</v>
      </c>
      <c r="B87" s="308"/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102">
        <f t="shared" si="10"/>
        <v>0</v>
      </c>
      <c r="P87" s="309"/>
      <c r="Q87" s="102">
        <f t="shared" si="11"/>
        <v>0</v>
      </c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</row>
    <row r="88" spans="1:44" x14ac:dyDescent="0.25">
      <c r="A88" s="99">
        <v>315</v>
      </c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102">
        <f t="shared" si="10"/>
        <v>0</v>
      </c>
      <c r="P88" s="309"/>
      <c r="Q88" s="102">
        <f t="shared" si="11"/>
        <v>0</v>
      </c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</row>
    <row r="89" spans="1:44" x14ac:dyDescent="0.25">
      <c r="A89" s="99">
        <v>400</v>
      </c>
      <c r="B89" s="308"/>
      <c r="C89" s="308"/>
      <c r="D89" s="308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102">
        <f t="shared" si="10"/>
        <v>0</v>
      </c>
      <c r="P89" s="309"/>
      <c r="Q89" s="102">
        <f t="shared" si="11"/>
        <v>0</v>
      </c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</row>
    <row r="90" spans="1:44" x14ac:dyDescent="0.25">
      <c r="A90" s="99">
        <v>500</v>
      </c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102">
        <f t="shared" si="10"/>
        <v>0</v>
      </c>
      <c r="P90" s="309"/>
      <c r="Q90" s="102">
        <f t="shared" si="11"/>
        <v>0</v>
      </c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</row>
    <row r="91" spans="1:44" x14ac:dyDescent="0.25">
      <c r="A91" s="99">
        <v>630</v>
      </c>
      <c r="B91" s="308"/>
      <c r="C91" s="308"/>
      <c r="D91" s="308"/>
      <c r="E91" s="308"/>
      <c r="F91" s="308"/>
      <c r="G91" s="308"/>
      <c r="H91" s="308"/>
      <c r="I91" s="308"/>
      <c r="J91" s="308"/>
      <c r="K91" s="308"/>
      <c r="L91" s="308"/>
      <c r="M91" s="308"/>
      <c r="N91" s="308"/>
      <c r="O91" s="102">
        <f t="shared" si="10"/>
        <v>0</v>
      </c>
      <c r="P91" s="309"/>
      <c r="Q91" s="102">
        <f t="shared" si="11"/>
        <v>0</v>
      </c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</row>
    <row r="92" spans="1:44" x14ac:dyDescent="0.25">
      <c r="A92" s="99">
        <v>800</v>
      </c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102">
        <f t="shared" si="10"/>
        <v>0</v>
      </c>
      <c r="P92" s="309"/>
      <c r="Q92" s="102">
        <f t="shared" si="11"/>
        <v>0</v>
      </c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</row>
    <row r="93" spans="1:44" x14ac:dyDescent="0.25">
      <c r="A93" s="99">
        <v>1000</v>
      </c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102">
        <f t="shared" si="10"/>
        <v>0</v>
      </c>
      <c r="P93" s="309"/>
      <c r="Q93" s="102">
        <f t="shared" si="11"/>
        <v>0</v>
      </c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</row>
    <row r="94" spans="1:44" x14ac:dyDescent="0.25">
      <c r="A94" s="99">
        <v>1250</v>
      </c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08"/>
      <c r="O94" s="102">
        <f t="shared" si="10"/>
        <v>0</v>
      </c>
      <c r="P94" s="309"/>
      <c r="Q94" s="102">
        <f t="shared" si="11"/>
        <v>0</v>
      </c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</row>
    <row r="95" spans="1:44" x14ac:dyDescent="0.25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</row>
    <row r="96" spans="1:44" ht="13.5" thickBot="1" x14ac:dyDescent="0.35">
      <c r="A96" s="141" t="s">
        <v>261</v>
      </c>
      <c r="B96" s="112"/>
      <c r="C96" s="112"/>
      <c r="D96" s="112"/>
      <c r="E96" s="112"/>
      <c r="F96" s="112"/>
      <c r="G96" s="112"/>
      <c r="H96" s="112"/>
      <c r="I96" s="112"/>
      <c r="J96" s="109"/>
      <c r="K96" s="109"/>
      <c r="L96" s="109"/>
      <c r="M96" s="109"/>
      <c r="N96" s="325" t="s">
        <v>234</v>
      </c>
      <c r="O96" s="109"/>
      <c r="P96" s="325" t="s">
        <v>299</v>
      </c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</row>
    <row r="97" spans="1:44" x14ac:dyDescent="0.25">
      <c r="A97" s="109"/>
      <c r="B97" s="109" t="s">
        <v>252</v>
      </c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</row>
    <row r="98" spans="1:44" x14ac:dyDescent="0.25">
      <c r="A98" s="99" t="s">
        <v>256</v>
      </c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99" t="s">
        <v>253</v>
      </c>
      <c r="P98" s="101" t="s">
        <v>254</v>
      </c>
      <c r="Q98" s="99" t="s">
        <v>255</v>
      </c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</row>
    <row r="99" spans="1:44" x14ac:dyDescent="0.25">
      <c r="A99" s="99">
        <v>-125</v>
      </c>
      <c r="B99" s="307"/>
      <c r="C99" s="307" t="s">
        <v>67</v>
      </c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102">
        <f>SUM(B99:N99)</f>
        <v>0</v>
      </c>
      <c r="P99" s="309"/>
      <c r="Q99" s="102">
        <f>O99-P99</f>
        <v>0</v>
      </c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</row>
    <row r="100" spans="1:44" x14ac:dyDescent="0.25">
      <c r="A100" s="99">
        <v>-200</v>
      </c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08"/>
      <c r="O100" s="102">
        <f t="shared" ref="O100:O108" si="12">SUM(B100:N100)</f>
        <v>0</v>
      </c>
      <c r="P100" s="309"/>
      <c r="Q100" s="102">
        <f t="shared" ref="Q100:Q108" si="13">O100-P100</f>
        <v>0</v>
      </c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</row>
    <row r="101" spans="1:44" x14ac:dyDescent="0.25">
      <c r="A101" s="99">
        <v>250</v>
      </c>
      <c r="B101" s="308"/>
      <c r="C101" s="308"/>
      <c r="D101" s="308"/>
      <c r="E101" s="308"/>
      <c r="F101" s="308"/>
      <c r="G101" s="308"/>
      <c r="H101" s="308"/>
      <c r="I101" s="308"/>
      <c r="J101" s="308"/>
      <c r="K101" s="308"/>
      <c r="L101" s="308"/>
      <c r="M101" s="308"/>
      <c r="N101" s="308"/>
      <c r="O101" s="102">
        <f t="shared" si="12"/>
        <v>0</v>
      </c>
      <c r="P101" s="309"/>
      <c r="Q101" s="102">
        <f t="shared" si="13"/>
        <v>0</v>
      </c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</row>
    <row r="102" spans="1:44" x14ac:dyDescent="0.25">
      <c r="A102" s="99">
        <v>315</v>
      </c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102">
        <f t="shared" si="12"/>
        <v>0</v>
      </c>
      <c r="P102" s="309"/>
      <c r="Q102" s="102">
        <f t="shared" si="13"/>
        <v>0</v>
      </c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</row>
    <row r="103" spans="1:44" x14ac:dyDescent="0.25">
      <c r="A103" s="99">
        <v>400</v>
      </c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102">
        <f t="shared" si="12"/>
        <v>0</v>
      </c>
      <c r="P103" s="309"/>
      <c r="Q103" s="102">
        <f t="shared" si="13"/>
        <v>0</v>
      </c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</row>
    <row r="104" spans="1:44" x14ac:dyDescent="0.25">
      <c r="A104" s="99">
        <v>500</v>
      </c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102">
        <f t="shared" si="12"/>
        <v>0</v>
      </c>
      <c r="P104" s="309"/>
      <c r="Q104" s="102">
        <f t="shared" si="13"/>
        <v>0</v>
      </c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</row>
    <row r="105" spans="1:44" x14ac:dyDescent="0.25">
      <c r="A105" s="99">
        <v>630</v>
      </c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08"/>
      <c r="O105" s="102">
        <f t="shared" si="12"/>
        <v>0</v>
      </c>
      <c r="P105" s="309"/>
      <c r="Q105" s="102">
        <f t="shared" si="13"/>
        <v>0</v>
      </c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</row>
    <row r="106" spans="1:44" x14ac:dyDescent="0.25">
      <c r="A106" s="99">
        <v>800</v>
      </c>
      <c r="B106" s="308"/>
      <c r="C106" s="308"/>
      <c r="D106" s="308"/>
      <c r="E106" s="308"/>
      <c r="F106" s="308"/>
      <c r="G106" s="308"/>
      <c r="H106" s="308"/>
      <c r="I106" s="308"/>
      <c r="J106" s="308"/>
      <c r="K106" s="308"/>
      <c r="L106" s="308"/>
      <c r="M106" s="308"/>
      <c r="N106" s="308"/>
      <c r="O106" s="102">
        <f t="shared" si="12"/>
        <v>0</v>
      </c>
      <c r="P106" s="309"/>
      <c r="Q106" s="102">
        <f t="shared" si="13"/>
        <v>0</v>
      </c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</row>
    <row r="107" spans="1:44" x14ac:dyDescent="0.25">
      <c r="A107" s="99">
        <v>1000</v>
      </c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08"/>
      <c r="O107" s="102">
        <f t="shared" si="12"/>
        <v>0</v>
      </c>
      <c r="P107" s="309"/>
      <c r="Q107" s="102">
        <f t="shared" si="13"/>
        <v>0</v>
      </c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</row>
    <row r="108" spans="1:44" x14ac:dyDescent="0.25">
      <c r="A108" s="99">
        <v>1250</v>
      </c>
      <c r="B108" s="308"/>
      <c r="C108" s="308"/>
      <c r="D108" s="308"/>
      <c r="E108" s="308"/>
      <c r="F108" s="308"/>
      <c r="G108" s="308"/>
      <c r="H108" s="308"/>
      <c r="I108" s="308"/>
      <c r="J108" s="308"/>
      <c r="K108" s="308"/>
      <c r="L108" s="308"/>
      <c r="M108" s="308"/>
      <c r="N108" s="308"/>
      <c r="O108" s="102">
        <f t="shared" si="12"/>
        <v>0</v>
      </c>
      <c r="P108" s="309"/>
      <c r="Q108" s="102">
        <f t="shared" si="13"/>
        <v>0</v>
      </c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</row>
    <row r="109" spans="1:44" x14ac:dyDescent="0.25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</row>
    <row r="110" spans="1:44" ht="13.5" thickBot="1" x14ac:dyDescent="0.35">
      <c r="A110" s="141" t="s">
        <v>262</v>
      </c>
      <c r="B110" s="112"/>
      <c r="C110" s="112"/>
      <c r="D110" s="112"/>
      <c r="E110" s="112"/>
      <c r="F110" s="112"/>
      <c r="G110" s="112"/>
      <c r="H110" s="112"/>
      <c r="I110" s="112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</row>
    <row r="111" spans="1:44" x14ac:dyDescent="0.25">
      <c r="A111" s="109"/>
      <c r="B111" s="109" t="s">
        <v>252</v>
      </c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</row>
    <row r="112" spans="1:44" x14ac:dyDescent="0.25">
      <c r="A112" s="99" t="s">
        <v>256</v>
      </c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99" t="s">
        <v>253</v>
      </c>
      <c r="P112" s="101" t="s">
        <v>254</v>
      </c>
      <c r="Q112" s="99" t="s">
        <v>255</v>
      </c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</row>
    <row r="113" spans="1:44" x14ac:dyDescent="0.25">
      <c r="A113" s="99">
        <v>-125</v>
      </c>
      <c r="B113" s="307"/>
      <c r="C113" s="307" t="s">
        <v>67</v>
      </c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08"/>
      <c r="O113" s="102">
        <f>SUM(B113:N113)</f>
        <v>0</v>
      </c>
      <c r="P113" s="309"/>
      <c r="Q113" s="102">
        <f>O113-P113</f>
        <v>0</v>
      </c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</row>
    <row r="114" spans="1:44" x14ac:dyDescent="0.25">
      <c r="A114" s="99">
        <v>-200</v>
      </c>
      <c r="B114" s="308"/>
      <c r="C114" s="308"/>
      <c r="D114" s="308"/>
      <c r="E114" s="308"/>
      <c r="F114" s="308"/>
      <c r="G114" s="308"/>
      <c r="H114" s="308"/>
      <c r="I114" s="308"/>
      <c r="J114" s="308"/>
      <c r="K114" s="308"/>
      <c r="L114" s="308"/>
      <c r="M114" s="308"/>
      <c r="N114" s="308"/>
      <c r="O114" s="102">
        <f t="shared" ref="O114:O122" si="14">SUM(B114:N114)</f>
        <v>0</v>
      </c>
      <c r="P114" s="309"/>
      <c r="Q114" s="102">
        <f t="shared" ref="Q114:Q122" si="15">O114-P114</f>
        <v>0</v>
      </c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</row>
    <row r="115" spans="1:44" x14ac:dyDescent="0.25">
      <c r="A115" s="99">
        <v>250</v>
      </c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08"/>
      <c r="O115" s="102">
        <f t="shared" si="14"/>
        <v>0</v>
      </c>
      <c r="P115" s="309"/>
      <c r="Q115" s="102">
        <f t="shared" si="15"/>
        <v>0</v>
      </c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</row>
    <row r="116" spans="1:44" x14ac:dyDescent="0.25">
      <c r="A116" s="99">
        <v>315</v>
      </c>
      <c r="B116" s="308"/>
      <c r="C116" s="308"/>
      <c r="D116" s="308"/>
      <c r="E116" s="308"/>
      <c r="F116" s="308"/>
      <c r="G116" s="308"/>
      <c r="H116" s="308"/>
      <c r="I116" s="308"/>
      <c r="J116" s="308"/>
      <c r="K116" s="308"/>
      <c r="L116" s="308"/>
      <c r="M116" s="308"/>
      <c r="N116" s="308"/>
      <c r="O116" s="102">
        <f t="shared" si="14"/>
        <v>0</v>
      </c>
      <c r="P116" s="309"/>
      <c r="Q116" s="102">
        <f t="shared" si="15"/>
        <v>0</v>
      </c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</row>
    <row r="117" spans="1:44" x14ac:dyDescent="0.25">
      <c r="A117" s="99">
        <v>400</v>
      </c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102">
        <f t="shared" si="14"/>
        <v>0</v>
      </c>
      <c r="P117" s="309"/>
      <c r="Q117" s="102">
        <f t="shared" si="15"/>
        <v>0</v>
      </c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</row>
    <row r="118" spans="1:44" x14ac:dyDescent="0.25">
      <c r="A118" s="99">
        <v>500</v>
      </c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102">
        <f t="shared" si="14"/>
        <v>0</v>
      </c>
      <c r="P118" s="309"/>
      <c r="Q118" s="102">
        <f t="shared" si="15"/>
        <v>0</v>
      </c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</row>
    <row r="119" spans="1:44" x14ac:dyDescent="0.25">
      <c r="A119" s="99">
        <v>630</v>
      </c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08"/>
      <c r="O119" s="102">
        <f t="shared" si="14"/>
        <v>0</v>
      </c>
      <c r="P119" s="309"/>
      <c r="Q119" s="102">
        <f t="shared" si="15"/>
        <v>0</v>
      </c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</row>
    <row r="120" spans="1:44" x14ac:dyDescent="0.25">
      <c r="A120" s="99">
        <v>800</v>
      </c>
      <c r="B120" s="308"/>
      <c r="C120" s="308"/>
      <c r="D120" s="308"/>
      <c r="E120" s="308"/>
      <c r="F120" s="308"/>
      <c r="G120" s="308"/>
      <c r="H120" s="308"/>
      <c r="I120" s="308"/>
      <c r="J120" s="308"/>
      <c r="K120" s="308"/>
      <c r="L120" s="308"/>
      <c r="M120" s="308"/>
      <c r="N120" s="308"/>
      <c r="O120" s="102">
        <f t="shared" si="14"/>
        <v>0</v>
      </c>
      <c r="P120" s="309"/>
      <c r="Q120" s="102">
        <f t="shared" si="15"/>
        <v>0</v>
      </c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</row>
    <row r="121" spans="1:44" x14ac:dyDescent="0.25">
      <c r="A121" s="99">
        <v>1000</v>
      </c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08"/>
      <c r="O121" s="102">
        <f t="shared" si="14"/>
        <v>0</v>
      </c>
      <c r="P121" s="309"/>
      <c r="Q121" s="102">
        <f t="shared" si="15"/>
        <v>0</v>
      </c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</row>
    <row r="122" spans="1:44" x14ac:dyDescent="0.25">
      <c r="A122" s="99">
        <v>1250</v>
      </c>
      <c r="B122" s="308"/>
      <c r="C122" s="308"/>
      <c r="D122" s="308"/>
      <c r="E122" s="308"/>
      <c r="F122" s="308"/>
      <c r="G122" s="308"/>
      <c r="H122" s="308"/>
      <c r="I122" s="308"/>
      <c r="J122" s="308"/>
      <c r="K122" s="308"/>
      <c r="L122" s="308"/>
      <c r="M122" s="308"/>
      <c r="N122" s="308"/>
      <c r="O122" s="102">
        <f t="shared" si="14"/>
        <v>0</v>
      </c>
      <c r="P122" s="309"/>
      <c r="Q122" s="102">
        <f t="shared" si="15"/>
        <v>0</v>
      </c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</row>
    <row r="123" spans="1:44" x14ac:dyDescent="0.25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</row>
    <row r="124" spans="1:44" x14ac:dyDescent="0.25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325" t="s">
        <v>234</v>
      </c>
      <c r="O124" s="109"/>
      <c r="P124" s="325" t="s">
        <v>299</v>
      </c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</row>
    <row r="125" spans="1:44" ht="13.5" thickBot="1" x14ac:dyDescent="0.35">
      <c r="A125" s="141" t="s">
        <v>260</v>
      </c>
      <c r="B125" s="112"/>
      <c r="C125" s="112"/>
      <c r="D125" s="112"/>
      <c r="E125" s="112"/>
      <c r="F125" s="112"/>
      <c r="G125" s="112"/>
      <c r="H125" s="112"/>
      <c r="I125" s="112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</row>
    <row r="126" spans="1:44" x14ac:dyDescent="0.25">
      <c r="A126" s="109"/>
      <c r="B126" s="109" t="s">
        <v>252</v>
      </c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</row>
    <row r="127" spans="1:44" x14ac:dyDescent="0.25">
      <c r="A127" s="99" t="s">
        <v>256</v>
      </c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99" t="s">
        <v>253</v>
      </c>
      <c r="P127" s="101" t="s">
        <v>254</v>
      </c>
      <c r="Q127" s="99" t="s">
        <v>255</v>
      </c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</row>
    <row r="128" spans="1:44" x14ac:dyDescent="0.25">
      <c r="A128" s="99">
        <v>-125</v>
      </c>
      <c r="B128" s="307"/>
      <c r="C128" s="307" t="s">
        <v>67</v>
      </c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102">
        <f>SUM(B128:N128)</f>
        <v>0</v>
      </c>
      <c r="P128" s="309"/>
      <c r="Q128" s="102">
        <f>O128-P128</f>
        <v>0</v>
      </c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</row>
    <row r="129" spans="1:44" x14ac:dyDescent="0.25">
      <c r="A129" s="99">
        <v>-200</v>
      </c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102">
        <f t="shared" ref="O129:O137" si="16">SUM(B129:N129)</f>
        <v>0</v>
      </c>
      <c r="P129" s="309"/>
      <c r="Q129" s="102">
        <f t="shared" ref="Q129:Q137" si="17">O129-P129</f>
        <v>0</v>
      </c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</row>
    <row r="130" spans="1:44" x14ac:dyDescent="0.25">
      <c r="A130" s="99">
        <v>250</v>
      </c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102">
        <f t="shared" si="16"/>
        <v>0</v>
      </c>
      <c r="P130" s="309"/>
      <c r="Q130" s="102">
        <f t="shared" si="17"/>
        <v>0</v>
      </c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</row>
    <row r="131" spans="1:44" x14ac:dyDescent="0.25">
      <c r="A131" s="99">
        <v>315</v>
      </c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102">
        <f t="shared" si="16"/>
        <v>0</v>
      </c>
      <c r="P131" s="309"/>
      <c r="Q131" s="102">
        <f t="shared" si="17"/>
        <v>0</v>
      </c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</row>
    <row r="132" spans="1:44" x14ac:dyDescent="0.25">
      <c r="A132" s="99">
        <v>400</v>
      </c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102">
        <f t="shared" si="16"/>
        <v>0</v>
      </c>
      <c r="P132" s="309"/>
      <c r="Q132" s="102">
        <f t="shared" si="17"/>
        <v>0</v>
      </c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</row>
    <row r="133" spans="1:44" x14ac:dyDescent="0.25">
      <c r="A133" s="99">
        <v>500</v>
      </c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102">
        <f t="shared" si="16"/>
        <v>0</v>
      </c>
      <c r="P133" s="309"/>
      <c r="Q133" s="102">
        <f t="shared" si="17"/>
        <v>0</v>
      </c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</row>
    <row r="134" spans="1:44" x14ac:dyDescent="0.25">
      <c r="A134" s="99">
        <v>630</v>
      </c>
      <c r="B134" s="308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308"/>
      <c r="N134" s="308"/>
      <c r="O134" s="102">
        <f t="shared" si="16"/>
        <v>0</v>
      </c>
      <c r="P134" s="309"/>
      <c r="Q134" s="102">
        <f t="shared" si="17"/>
        <v>0</v>
      </c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</row>
    <row r="135" spans="1:44" x14ac:dyDescent="0.25">
      <c r="A135" s="99">
        <v>800</v>
      </c>
      <c r="B135" s="308"/>
      <c r="C135" s="308"/>
      <c r="D135" s="308"/>
      <c r="E135" s="308"/>
      <c r="F135" s="308"/>
      <c r="G135" s="308"/>
      <c r="H135" s="308"/>
      <c r="I135" s="308"/>
      <c r="J135" s="308"/>
      <c r="K135" s="308"/>
      <c r="L135" s="308"/>
      <c r="M135" s="308"/>
      <c r="N135" s="308"/>
      <c r="O135" s="102">
        <f t="shared" si="16"/>
        <v>0</v>
      </c>
      <c r="P135" s="309"/>
      <c r="Q135" s="102">
        <f t="shared" si="17"/>
        <v>0</v>
      </c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</row>
    <row r="136" spans="1:44" x14ac:dyDescent="0.25">
      <c r="A136" s="99">
        <v>1000</v>
      </c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08"/>
      <c r="O136" s="102">
        <f t="shared" si="16"/>
        <v>0</v>
      </c>
      <c r="P136" s="309"/>
      <c r="Q136" s="102">
        <f t="shared" si="17"/>
        <v>0</v>
      </c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</row>
    <row r="137" spans="1:44" x14ac:dyDescent="0.25">
      <c r="A137" s="99">
        <v>1250</v>
      </c>
      <c r="B137" s="30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308"/>
      <c r="N137" s="308"/>
      <c r="O137" s="102">
        <f t="shared" si="16"/>
        <v>0</v>
      </c>
      <c r="P137" s="309"/>
      <c r="Q137" s="102">
        <f t="shared" si="17"/>
        <v>0</v>
      </c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</row>
    <row r="138" spans="1:44" x14ac:dyDescent="0.25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</row>
    <row r="139" spans="1:44" x14ac:dyDescent="0.25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</row>
    <row r="140" spans="1:44" ht="13.5" thickBot="1" x14ac:dyDescent="0.35">
      <c r="A140" s="141" t="s">
        <v>449</v>
      </c>
      <c r="B140" s="112"/>
      <c r="C140" s="112"/>
      <c r="D140" s="112"/>
      <c r="E140" s="112"/>
      <c r="F140" s="112"/>
      <c r="G140" s="112"/>
      <c r="H140" s="112"/>
      <c r="I140" s="112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</row>
    <row r="141" spans="1:44" x14ac:dyDescent="0.25">
      <c r="A141" s="109"/>
      <c r="B141" s="109" t="s">
        <v>252</v>
      </c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</row>
    <row r="142" spans="1:44" x14ac:dyDescent="0.25">
      <c r="A142" s="99" t="s">
        <v>256</v>
      </c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99" t="s">
        <v>253</v>
      </c>
      <c r="P142" s="101" t="s">
        <v>254</v>
      </c>
      <c r="Q142" s="99" t="s">
        <v>255</v>
      </c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</row>
    <row r="143" spans="1:44" x14ac:dyDescent="0.25">
      <c r="A143" s="99">
        <v>-125</v>
      </c>
      <c r="B143" s="307"/>
      <c r="C143" s="307" t="s">
        <v>67</v>
      </c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102">
        <f>SUM(B143:N143)</f>
        <v>0</v>
      </c>
      <c r="P143" s="309"/>
      <c r="Q143" s="102">
        <f>O143-P143</f>
        <v>0</v>
      </c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</row>
    <row r="144" spans="1:44" x14ac:dyDescent="0.25">
      <c r="A144" s="99">
        <v>-200</v>
      </c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08"/>
      <c r="O144" s="102">
        <f t="shared" ref="O144:O152" si="18">SUM(B144:N144)</f>
        <v>0</v>
      </c>
      <c r="P144" s="309"/>
      <c r="Q144" s="102">
        <f t="shared" ref="Q144:Q152" si="19">O144-P144</f>
        <v>0</v>
      </c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</row>
    <row r="145" spans="1:44" x14ac:dyDescent="0.25">
      <c r="A145" s="99">
        <v>250</v>
      </c>
      <c r="B145" s="308"/>
      <c r="C145" s="308"/>
      <c r="D145" s="308"/>
      <c r="E145" s="308"/>
      <c r="F145" s="308"/>
      <c r="G145" s="308"/>
      <c r="H145" s="308"/>
      <c r="I145" s="308"/>
      <c r="J145" s="308"/>
      <c r="K145" s="308"/>
      <c r="L145" s="308"/>
      <c r="M145" s="308"/>
      <c r="N145" s="308"/>
      <c r="O145" s="102">
        <f t="shared" si="18"/>
        <v>0</v>
      </c>
      <c r="P145" s="309"/>
      <c r="Q145" s="102">
        <f t="shared" si="19"/>
        <v>0</v>
      </c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</row>
    <row r="146" spans="1:44" x14ac:dyDescent="0.25">
      <c r="A146" s="99">
        <v>315</v>
      </c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08"/>
      <c r="O146" s="102">
        <f t="shared" si="18"/>
        <v>0</v>
      </c>
      <c r="P146" s="309"/>
      <c r="Q146" s="102">
        <f t="shared" si="19"/>
        <v>0</v>
      </c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</row>
    <row r="147" spans="1:44" x14ac:dyDescent="0.25">
      <c r="A147" s="99">
        <v>400</v>
      </c>
      <c r="B147" s="308"/>
      <c r="C147" s="308"/>
      <c r="D147" s="308"/>
      <c r="E147" s="308"/>
      <c r="F147" s="308"/>
      <c r="G147" s="308"/>
      <c r="H147" s="308"/>
      <c r="I147" s="308"/>
      <c r="J147" s="308"/>
      <c r="K147" s="308"/>
      <c r="L147" s="308"/>
      <c r="M147" s="308"/>
      <c r="N147" s="308"/>
      <c r="O147" s="102">
        <f t="shared" si="18"/>
        <v>0</v>
      </c>
      <c r="P147" s="309"/>
      <c r="Q147" s="102">
        <f t="shared" si="19"/>
        <v>0</v>
      </c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</row>
    <row r="148" spans="1:44" x14ac:dyDescent="0.25">
      <c r="A148" s="99">
        <v>500</v>
      </c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08"/>
      <c r="O148" s="102">
        <f t="shared" si="18"/>
        <v>0</v>
      </c>
      <c r="P148" s="309"/>
      <c r="Q148" s="102">
        <f t="shared" si="19"/>
        <v>0</v>
      </c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</row>
    <row r="149" spans="1:44" x14ac:dyDescent="0.25">
      <c r="A149" s="99">
        <v>630</v>
      </c>
      <c r="B149" s="308"/>
      <c r="C149" s="308"/>
      <c r="D149" s="308"/>
      <c r="E149" s="308"/>
      <c r="F149" s="310"/>
      <c r="G149" s="308"/>
      <c r="H149" s="308"/>
      <c r="I149" s="308"/>
      <c r="J149" s="308"/>
      <c r="K149" s="308"/>
      <c r="L149" s="308"/>
      <c r="M149" s="308"/>
      <c r="N149" s="308"/>
      <c r="O149" s="102">
        <f t="shared" si="18"/>
        <v>0</v>
      </c>
      <c r="P149" s="309"/>
      <c r="Q149" s="102">
        <f t="shared" si="19"/>
        <v>0</v>
      </c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</row>
    <row r="150" spans="1:44" x14ac:dyDescent="0.25">
      <c r="A150" s="99">
        <v>800</v>
      </c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08"/>
      <c r="O150" s="102">
        <f t="shared" si="18"/>
        <v>0</v>
      </c>
      <c r="P150" s="309"/>
      <c r="Q150" s="102">
        <f t="shared" si="19"/>
        <v>0</v>
      </c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</row>
    <row r="151" spans="1:44" x14ac:dyDescent="0.25">
      <c r="A151" s="99">
        <v>1000</v>
      </c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308"/>
      <c r="N151" s="308"/>
      <c r="O151" s="102">
        <f t="shared" si="18"/>
        <v>0</v>
      </c>
      <c r="P151" s="309"/>
      <c r="Q151" s="102">
        <f t="shared" si="19"/>
        <v>0</v>
      </c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</row>
    <row r="152" spans="1:44" x14ac:dyDescent="0.25">
      <c r="A152" s="99">
        <v>1250</v>
      </c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102">
        <f t="shared" si="18"/>
        <v>0</v>
      </c>
      <c r="P152" s="309"/>
      <c r="Q152" s="102">
        <f t="shared" si="19"/>
        <v>0</v>
      </c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</row>
    <row r="153" spans="1:44" x14ac:dyDescent="0.25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</row>
    <row r="154" spans="1:44" x14ac:dyDescent="0.25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</row>
    <row r="155" spans="1:44" ht="13" x14ac:dyDescent="0.3">
      <c r="A155" s="656" t="s">
        <v>514</v>
      </c>
      <c r="B155" s="460"/>
      <c r="C155" s="460"/>
      <c r="D155" s="460"/>
      <c r="E155" s="460"/>
      <c r="F155" s="460"/>
      <c r="G155" s="460"/>
      <c r="H155" s="460"/>
      <c r="I155" s="460"/>
      <c r="J155" s="460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</row>
    <row r="156" spans="1:44" x14ac:dyDescent="0.25">
      <c r="B156" s="109" t="s">
        <v>252</v>
      </c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</row>
    <row r="157" spans="1:44" x14ac:dyDescent="0.25">
      <c r="A157" s="109"/>
      <c r="B157" s="310"/>
      <c r="C157" s="310"/>
      <c r="D157" s="31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10"/>
      <c r="P157" s="310"/>
      <c r="Q157" s="349" t="s">
        <v>253</v>
      </c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</row>
    <row r="158" spans="1:44" x14ac:dyDescent="0.25">
      <c r="A158" s="657" t="s">
        <v>158</v>
      </c>
      <c r="B158" s="661"/>
      <c r="C158" s="661"/>
      <c r="D158" s="661"/>
      <c r="E158" s="661"/>
      <c r="F158" s="661"/>
      <c r="G158" s="661"/>
      <c r="H158" s="661"/>
      <c r="I158" s="661"/>
      <c r="J158" s="661"/>
      <c r="K158" s="661"/>
      <c r="L158" s="661"/>
      <c r="M158" s="661"/>
      <c r="N158" s="661"/>
      <c r="O158" s="661"/>
      <c r="P158" s="661"/>
      <c r="Q158" s="367">
        <f>SUM(B158:P158)</f>
        <v>0</v>
      </c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</row>
    <row r="159" spans="1:44" x14ac:dyDescent="0.25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</row>
    <row r="160" spans="1:44" x14ac:dyDescent="0.25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</row>
    <row r="161" spans="1:44" ht="13.5" customHeight="1" thickBot="1" x14ac:dyDescent="0.35">
      <c r="A161" s="141" t="s">
        <v>263</v>
      </c>
      <c r="B161" s="112"/>
      <c r="C161" s="112"/>
      <c r="D161" s="112"/>
      <c r="E161" s="112"/>
      <c r="F161" s="112"/>
      <c r="G161" s="112"/>
      <c r="H161" s="112"/>
      <c r="I161" s="112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</row>
    <row r="162" spans="1:44" x14ac:dyDescent="0.25">
      <c r="A162" s="109"/>
      <c r="B162" s="148"/>
      <c r="C162" s="148" t="s">
        <v>252</v>
      </c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</row>
    <row r="163" spans="1:44" x14ac:dyDescent="0.25">
      <c r="A163" s="99" t="s">
        <v>256</v>
      </c>
      <c r="B163" s="10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99" t="s">
        <v>253</v>
      </c>
      <c r="P163" s="101" t="s">
        <v>254</v>
      </c>
      <c r="Q163" s="99" t="s">
        <v>255</v>
      </c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</row>
    <row r="164" spans="1:44" ht="13" x14ac:dyDescent="0.3">
      <c r="A164" s="105" t="s">
        <v>265</v>
      </c>
      <c r="B164" s="366"/>
      <c r="C164" s="272"/>
      <c r="D164" s="272"/>
      <c r="E164" s="272"/>
      <c r="F164" s="272"/>
      <c r="G164" s="272"/>
      <c r="H164" s="272"/>
      <c r="I164" s="272"/>
      <c r="J164" s="272"/>
      <c r="K164" s="272"/>
      <c r="L164" s="272"/>
      <c r="M164" s="272"/>
      <c r="N164" s="272"/>
      <c r="O164" s="102"/>
      <c r="P164" s="367"/>
      <c r="Q164" s="102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</row>
    <row r="165" spans="1:44" x14ac:dyDescent="0.25">
      <c r="A165" s="99">
        <v>-400</v>
      </c>
      <c r="B165" s="103"/>
      <c r="C165" s="307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08"/>
      <c r="O165" s="102">
        <f>SUM(B165:N165)</f>
        <v>0</v>
      </c>
      <c r="P165" s="309"/>
      <c r="Q165" s="102">
        <f>O165-P165</f>
        <v>0</v>
      </c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</row>
    <row r="166" spans="1:44" x14ac:dyDescent="0.25">
      <c r="A166" s="338" t="s">
        <v>392</v>
      </c>
      <c r="B166" s="103"/>
      <c r="C166" s="307"/>
      <c r="D166" s="308"/>
      <c r="E166" s="308"/>
      <c r="F166" s="308"/>
      <c r="G166" s="308"/>
      <c r="H166" s="308"/>
      <c r="I166" s="308"/>
      <c r="J166" s="308"/>
      <c r="K166" s="308"/>
      <c r="L166" s="308"/>
      <c r="M166" s="308"/>
      <c r="N166" s="308"/>
      <c r="O166" s="102">
        <f>SUM(B166:N166)</f>
        <v>0</v>
      </c>
      <c r="P166" s="309"/>
      <c r="Q166" s="102">
        <f>O166-P166</f>
        <v>0</v>
      </c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</row>
    <row r="167" spans="1:44" ht="13" x14ac:dyDescent="0.3">
      <c r="A167" s="105" t="s">
        <v>264</v>
      </c>
      <c r="B167" s="106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  <c r="O167" s="102"/>
      <c r="P167" s="312"/>
      <c r="Q167" s="102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</row>
    <row r="168" spans="1:44" x14ac:dyDescent="0.25">
      <c r="A168" s="99">
        <v>-400</v>
      </c>
      <c r="B168" s="103"/>
      <c r="C168" s="307"/>
      <c r="D168" s="308"/>
      <c r="E168" s="308"/>
      <c r="F168" s="308"/>
      <c r="G168" s="308"/>
      <c r="H168" s="308"/>
      <c r="I168" s="308"/>
      <c r="J168" s="308"/>
      <c r="K168" s="308"/>
      <c r="L168" s="308"/>
      <c r="M168" s="308"/>
      <c r="N168" s="308"/>
      <c r="O168" s="102">
        <f>SUM(B168:N168)</f>
        <v>0</v>
      </c>
      <c r="P168" s="309"/>
      <c r="Q168" s="102">
        <f>O168-P168</f>
        <v>0</v>
      </c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</row>
    <row r="169" spans="1:44" x14ac:dyDescent="0.25">
      <c r="A169" s="338" t="s">
        <v>392</v>
      </c>
      <c r="B169" s="103"/>
      <c r="C169" s="307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102">
        <f>SUM(B169:N169)</f>
        <v>0</v>
      </c>
      <c r="P169" s="309"/>
      <c r="Q169" s="102">
        <f>O169-P169</f>
        <v>0</v>
      </c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</row>
    <row r="170" spans="1:44" ht="10.5" customHeight="1" x14ac:dyDescent="0.25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</row>
    <row r="171" spans="1:44" ht="13.5" customHeight="1" thickBot="1" x14ac:dyDescent="0.35">
      <c r="A171" s="141" t="s">
        <v>268</v>
      </c>
      <c r="B171" s="112"/>
      <c r="C171" s="112"/>
      <c r="D171" s="112"/>
      <c r="E171" s="112"/>
      <c r="F171" s="112"/>
      <c r="G171" s="109"/>
      <c r="H171" s="109"/>
      <c r="I171" s="109"/>
      <c r="J171" s="109"/>
      <c r="K171" s="109"/>
      <c r="L171" s="109"/>
      <c r="M171" s="109"/>
      <c r="N171" s="325" t="s">
        <v>234</v>
      </c>
      <c r="O171" s="301"/>
      <c r="P171" s="325" t="s">
        <v>299</v>
      </c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</row>
    <row r="172" spans="1:44" x14ac:dyDescent="0.25">
      <c r="A172" s="109"/>
      <c r="B172" s="109" t="s">
        <v>252</v>
      </c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</row>
    <row r="173" spans="1:44" x14ac:dyDescent="0.25">
      <c r="A173" s="107" t="s">
        <v>45</v>
      </c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99" t="s">
        <v>253</v>
      </c>
      <c r="P173" s="101" t="s">
        <v>254</v>
      </c>
      <c r="Q173" s="99" t="s">
        <v>255</v>
      </c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</row>
    <row r="174" spans="1:44" x14ac:dyDescent="0.25">
      <c r="A174" s="99">
        <v>-125</v>
      </c>
      <c r="B174" s="307"/>
      <c r="C174" s="308"/>
      <c r="D174" s="308"/>
      <c r="E174" s="308"/>
      <c r="F174" s="308"/>
      <c r="G174" s="308"/>
      <c r="H174" s="308"/>
      <c r="I174" s="308"/>
      <c r="J174" s="308"/>
      <c r="K174" s="308"/>
      <c r="L174" s="308"/>
      <c r="M174" s="308"/>
      <c r="N174" s="308"/>
      <c r="O174" s="102">
        <f>SUM(B174:N174)</f>
        <v>0</v>
      </c>
      <c r="P174" s="309"/>
      <c r="Q174" s="102">
        <f>O174-P174</f>
        <v>0</v>
      </c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</row>
    <row r="175" spans="1:44" x14ac:dyDescent="0.25">
      <c r="A175" s="99">
        <v>-200</v>
      </c>
      <c r="B175" s="307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08"/>
      <c r="O175" s="102">
        <f>SUM(B175:N175)</f>
        <v>0</v>
      </c>
      <c r="P175" s="309"/>
      <c r="Q175" s="102">
        <f>O175-P175</f>
        <v>0</v>
      </c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</row>
    <row r="176" spans="1:44" x14ac:dyDescent="0.25">
      <c r="A176" s="99">
        <v>250</v>
      </c>
      <c r="B176" s="307"/>
      <c r="C176" s="308"/>
      <c r="D176" s="308"/>
      <c r="E176" s="308"/>
      <c r="F176" s="308"/>
      <c r="G176" s="308"/>
      <c r="H176" s="308"/>
      <c r="I176" s="308"/>
      <c r="J176" s="308"/>
      <c r="K176" s="308"/>
      <c r="L176" s="308"/>
      <c r="M176" s="308"/>
      <c r="N176" s="308"/>
      <c r="O176" s="102">
        <f>SUM(B176:N176)</f>
        <v>0</v>
      </c>
      <c r="P176" s="309"/>
      <c r="Q176" s="102">
        <f>O176-P176</f>
        <v>0</v>
      </c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</row>
    <row r="177" spans="1:44" x14ac:dyDescent="0.25">
      <c r="A177" s="99">
        <v>315</v>
      </c>
      <c r="B177" s="307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08"/>
      <c r="O177" s="102">
        <f>SUM(B177:N177)</f>
        <v>0</v>
      </c>
      <c r="P177" s="309"/>
      <c r="Q177" s="102">
        <f>O177-P177</f>
        <v>0</v>
      </c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</row>
    <row r="178" spans="1:44" ht="10.5" customHeight="1" x14ac:dyDescent="0.25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</row>
    <row r="179" spans="1:44" ht="12" customHeight="1" thickBot="1" x14ac:dyDescent="0.35">
      <c r="A179" s="141" t="s">
        <v>267</v>
      </c>
      <c r="B179" s="112"/>
      <c r="C179" s="112"/>
      <c r="D179" s="112"/>
      <c r="E179" s="112"/>
      <c r="F179" s="112"/>
      <c r="G179" s="112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</row>
    <row r="180" spans="1:44" x14ac:dyDescent="0.25">
      <c r="A180" s="109"/>
      <c r="B180" s="109" t="s">
        <v>252</v>
      </c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</row>
    <row r="181" spans="1:44" x14ac:dyDescent="0.25">
      <c r="A181" s="107" t="s">
        <v>45</v>
      </c>
      <c r="B181" s="113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99" t="s">
        <v>253</v>
      </c>
      <c r="P181" s="101" t="s">
        <v>254</v>
      </c>
      <c r="Q181" s="99" t="s">
        <v>255</v>
      </c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</row>
    <row r="182" spans="1:44" x14ac:dyDescent="0.25">
      <c r="A182" s="760" t="s">
        <v>512</v>
      </c>
      <c r="B182" s="761"/>
      <c r="C182" s="313"/>
      <c r="D182" s="308"/>
      <c r="E182" s="308"/>
      <c r="F182" s="308"/>
      <c r="G182" s="308"/>
      <c r="H182" s="308"/>
      <c r="I182" s="308"/>
      <c r="J182" s="308"/>
      <c r="K182" s="308"/>
      <c r="L182" s="308"/>
      <c r="M182" s="308"/>
      <c r="N182" s="308"/>
      <c r="O182" s="102">
        <f>SUM(B182:N182)</f>
        <v>0</v>
      </c>
      <c r="P182" s="309"/>
      <c r="Q182" s="102">
        <f>O182-P182</f>
        <v>0</v>
      </c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</row>
    <row r="183" spans="1:44" x14ac:dyDescent="0.25">
      <c r="A183" s="108" t="s">
        <v>135</v>
      </c>
      <c r="B183" s="114"/>
      <c r="C183" s="307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102">
        <f t="shared" ref="O183:O190" si="20">SUM(B183:N183)</f>
        <v>0</v>
      </c>
      <c r="P183" s="309"/>
      <c r="Q183" s="102">
        <f t="shared" ref="Q183:Q190" si="21">O183-P183</f>
        <v>0</v>
      </c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</row>
    <row r="184" spans="1:44" x14ac:dyDescent="0.25">
      <c r="A184" s="108" t="s">
        <v>124</v>
      </c>
      <c r="B184" s="103"/>
      <c r="C184" s="307"/>
      <c r="D184" s="308"/>
      <c r="E184" s="308"/>
      <c r="F184" s="308"/>
      <c r="G184" s="308"/>
      <c r="H184" s="308"/>
      <c r="I184" s="308"/>
      <c r="J184" s="308"/>
      <c r="K184" s="308"/>
      <c r="L184" s="308"/>
      <c r="M184" s="308"/>
      <c r="N184" s="308"/>
      <c r="O184" s="102">
        <f t="shared" si="20"/>
        <v>0</v>
      </c>
      <c r="P184" s="309"/>
      <c r="Q184" s="102">
        <f t="shared" si="21"/>
        <v>0</v>
      </c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</row>
    <row r="185" spans="1:44" x14ac:dyDescent="0.25">
      <c r="A185" s="108" t="s">
        <v>125</v>
      </c>
      <c r="B185" s="103"/>
      <c r="C185" s="307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08"/>
      <c r="O185" s="102">
        <f t="shared" si="20"/>
        <v>0</v>
      </c>
      <c r="P185" s="309"/>
      <c r="Q185" s="102">
        <f t="shared" si="21"/>
        <v>0</v>
      </c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</row>
    <row r="186" spans="1:44" x14ac:dyDescent="0.25">
      <c r="A186" s="116" t="s">
        <v>126</v>
      </c>
      <c r="B186" s="103"/>
      <c r="C186" s="307"/>
      <c r="D186" s="308"/>
      <c r="E186" s="310"/>
      <c r="F186" s="308"/>
      <c r="G186" s="308"/>
      <c r="H186" s="308"/>
      <c r="I186" s="308"/>
      <c r="J186" s="308"/>
      <c r="K186" s="308"/>
      <c r="L186" s="308"/>
      <c r="M186" s="308"/>
      <c r="N186" s="308"/>
      <c r="O186" s="102">
        <f t="shared" si="20"/>
        <v>0</v>
      </c>
      <c r="P186" s="309"/>
      <c r="Q186" s="102">
        <f t="shared" si="21"/>
        <v>0</v>
      </c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</row>
    <row r="187" spans="1:44" x14ac:dyDescent="0.25">
      <c r="A187" s="117" t="s">
        <v>127</v>
      </c>
      <c r="B187" s="115"/>
      <c r="C187" s="307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08"/>
      <c r="O187" s="102">
        <f t="shared" si="20"/>
        <v>0</v>
      </c>
      <c r="P187" s="309"/>
      <c r="Q187" s="102">
        <f t="shared" si="21"/>
        <v>0</v>
      </c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</row>
    <row r="188" spans="1:44" x14ac:dyDescent="0.25">
      <c r="A188" s="98" t="s">
        <v>128</v>
      </c>
      <c r="B188" s="115"/>
      <c r="C188" s="307"/>
      <c r="D188" s="308"/>
      <c r="E188" s="308"/>
      <c r="F188" s="308"/>
      <c r="G188" s="308"/>
      <c r="H188" s="308"/>
      <c r="I188" s="308"/>
      <c r="J188" s="308"/>
      <c r="K188" s="308"/>
      <c r="L188" s="308"/>
      <c r="M188" s="308"/>
      <c r="N188" s="308"/>
      <c r="O188" s="102">
        <f t="shared" si="20"/>
        <v>0</v>
      </c>
      <c r="P188" s="309"/>
      <c r="Q188" s="102">
        <f t="shared" si="21"/>
        <v>0</v>
      </c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</row>
    <row r="189" spans="1:44" x14ac:dyDescent="0.25">
      <c r="A189" s="758" t="s">
        <v>511</v>
      </c>
      <c r="B189" s="759"/>
      <c r="C189" s="307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08"/>
      <c r="O189" s="102">
        <f t="shared" si="20"/>
        <v>0</v>
      </c>
      <c r="P189" s="309"/>
      <c r="Q189" s="102">
        <f t="shared" si="21"/>
        <v>0</v>
      </c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</row>
    <row r="190" spans="1:44" x14ac:dyDescent="0.25">
      <c r="A190" s="117" t="s">
        <v>510</v>
      </c>
      <c r="B190" s="115"/>
      <c r="C190" s="307"/>
      <c r="D190" s="308"/>
      <c r="E190" s="308"/>
      <c r="F190" s="308"/>
      <c r="G190" s="308"/>
      <c r="H190" s="308"/>
      <c r="I190" s="308"/>
      <c r="J190" s="308"/>
      <c r="K190" s="308"/>
      <c r="L190" s="308"/>
      <c r="M190" s="308"/>
      <c r="N190" s="308"/>
      <c r="O190" s="102">
        <f t="shared" si="20"/>
        <v>0</v>
      </c>
      <c r="P190" s="309"/>
      <c r="Q190" s="102">
        <f t="shared" si="21"/>
        <v>0</v>
      </c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</row>
    <row r="191" spans="1:44" x14ac:dyDescent="0.25">
      <c r="A191" s="636" t="s">
        <v>509</v>
      </c>
      <c r="B191" s="637"/>
      <c r="C191" s="307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08"/>
      <c r="O191" s="122">
        <f>SUM(B191:N191)</f>
        <v>0</v>
      </c>
      <c r="P191" s="309"/>
      <c r="Q191" s="102">
        <f>O191-P191</f>
        <v>0</v>
      </c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</row>
    <row r="192" spans="1:44" x14ac:dyDescent="0.25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</row>
    <row r="193" spans="1:44" x14ac:dyDescent="0.25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</row>
    <row r="194" spans="1:44" x14ac:dyDescent="0.25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</row>
    <row r="195" spans="1:44" x14ac:dyDescent="0.25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</row>
    <row r="196" spans="1:44" x14ac:dyDescent="0.25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</row>
    <row r="197" spans="1:44" x14ac:dyDescent="0.25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</row>
    <row r="198" spans="1:44" x14ac:dyDescent="0.25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</row>
    <row r="199" spans="1:44" x14ac:dyDescent="0.25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</row>
    <row r="200" spans="1:44" x14ac:dyDescent="0.25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</row>
    <row r="201" spans="1:44" x14ac:dyDescent="0.25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</row>
    <row r="202" spans="1:44" x14ac:dyDescent="0.25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</row>
    <row r="203" spans="1:44" x14ac:dyDescent="0.25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</row>
    <row r="204" spans="1:44" x14ac:dyDescent="0.25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</row>
    <row r="205" spans="1:44" x14ac:dyDescent="0.25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</row>
    <row r="206" spans="1:44" x14ac:dyDescent="0.25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</row>
    <row r="207" spans="1:44" x14ac:dyDescent="0.25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</row>
    <row r="208" spans="1:44" x14ac:dyDescent="0.25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</row>
    <row r="209" spans="1:44" x14ac:dyDescent="0.25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</row>
    <row r="210" spans="1:44" x14ac:dyDescent="0.25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</row>
    <row r="211" spans="1:44" x14ac:dyDescent="0.25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</row>
    <row r="212" spans="1:44" x14ac:dyDescent="0.25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</row>
    <row r="213" spans="1:44" x14ac:dyDescent="0.25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</row>
    <row r="214" spans="1:44" x14ac:dyDescent="0.25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</row>
    <row r="215" spans="1:44" x14ac:dyDescent="0.25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</row>
    <row r="216" spans="1:44" x14ac:dyDescent="0.25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</row>
    <row r="217" spans="1:44" x14ac:dyDescent="0.25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</row>
    <row r="218" spans="1:44" x14ac:dyDescent="0.25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</row>
    <row r="219" spans="1:44" x14ac:dyDescent="0.25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</row>
    <row r="220" spans="1:44" x14ac:dyDescent="0.25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</row>
    <row r="221" spans="1:44" x14ac:dyDescent="0.25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</row>
    <row r="222" spans="1:44" x14ac:dyDescent="0.25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</row>
    <row r="223" spans="1:44" x14ac:dyDescent="0.25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</row>
    <row r="224" spans="1:44" x14ac:dyDescent="0.25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</row>
    <row r="225" spans="1:44" x14ac:dyDescent="0.25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</row>
    <row r="226" spans="1:44" x14ac:dyDescent="0.25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</row>
    <row r="227" spans="1:44" x14ac:dyDescent="0.25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</row>
    <row r="228" spans="1:44" x14ac:dyDescent="0.25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</row>
    <row r="229" spans="1:44" x14ac:dyDescent="0.25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</row>
    <row r="230" spans="1:44" x14ac:dyDescent="0.25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</row>
    <row r="231" spans="1:44" x14ac:dyDescent="0.25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</row>
    <row r="232" spans="1:44" x14ac:dyDescent="0.25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</row>
    <row r="233" spans="1:44" x14ac:dyDescent="0.25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</row>
    <row r="234" spans="1:44" x14ac:dyDescent="0.25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</row>
    <row r="235" spans="1:44" x14ac:dyDescent="0.25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</row>
    <row r="236" spans="1:44" x14ac:dyDescent="0.25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</row>
    <row r="237" spans="1:44" x14ac:dyDescent="0.25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</row>
    <row r="238" spans="1:44" x14ac:dyDescent="0.25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</row>
    <row r="239" spans="1:44" x14ac:dyDescent="0.25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</row>
    <row r="240" spans="1:44" x14ac:dyDescent="0.25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</row>
    <row r="241" spans="1:44" x14ac:dyDescent="0.25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</row>
    <row r="242" spans="1:44" x14ac:dyDescent="0.25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</row>
    <row r="243" spans="1:44" x14ac:dyDescent="0.25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</row>
    <row r="244" spans="1:44" x14ac:dyDescent="0.25"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</row>
  </sheetData>
  <sheetProtection algorithmName="SHA-512" hashValue="zdWIc5bc/k0TzLzffDBPqMq81NzQN6nlfGhvi4gLmQ9jEAmkzjzOZ3mu9CA76JSMSYiGEu789Dwr34OjTLIUBg==" saltValue="VJx03rEx+KKnvfm2H/566Q==" spinCount="100000" sheet="1"/>
  <mergeCells count="3">
    <mergeCell ref="J6:K6"/>
    <mergeCell ref="A189:B189"/>
    <mergeCell ref="A182:B182"/>
  </mergeCells>
  <phoneticPr fontId="2" type="noConversion"/>
  <hyperlinks>
    <hyperlink ref="N4" location="Etusivu!A1" tooltip="Tästä pääset etusivulle" display="Etusivu" xr:uid="{00000000-0004-0000-0100-000000000000}"/>
    <hyperlink ref="N38" location="Etusivu!A1" tooltip="Tästä pääset etusivulle" display="Etusivu" xr:uid="{00000000-0004-0000-0100-000001000000}"/>
    <hyperlink ref="N96" location="Etusivu!A1" tooltip="Tästä pääset etusivulle" display="Etusivu" xr:uid="{00000000-0004-0000-0100-000002000000}"/>
    <hyperlink ref="N124" location="Etusivu!A1" tooltip="Tästä pääset etusivulle" display="Etusivu" xr:uid="{00000000-0004-0000-0100-000003000000}"/>
    <hyperlink ref="N171" location="Etusivu!A1" tooltip="Tästä pääset etusivulle" display="Etusivu" xr:uid="{00000000-0004-0000-0100-000004000000}"/>
    <hyperlink ref="P4" location="Etusivu!A392" tooltip="Tästä pääset laittamaan olosuhde/haittalisät" display="Haittalisä" xr:uid="{00000000-0004-0000-0100-000005000000}"/>
    <hyperlink ref="P38" location="Etusivu!A392" tooltip="Tästä pääset laittamaan olosuhde/haittalisät" display="Haittalisä" xr:uid="{00000000-0004-0000-0100-000006000000}"/>
    <hyperlink ref="P96" location="Etusivu!A392" tooltip="Tästä pääset laittamaan olosuhde/haittalisät" display="Haittalisä" xr:uid="{00000000-0004-0000-0100-000007000000}"/>
    <hyperlink ref="P124" location="Etusivu!A392" tooltip="Tästä pääset laittamaan olosuhde/haittalisät" display="Haittalisä" xr:uid="{00000000-0004-0000-0100-000008000000}"/>
    <hyperlink ref="P171" location="Etusivu!A392" tooltip="Tästä pääset laittamaan olosuhde/haittalisät" display="Haittalisä" xr:uid="{00000000-0004-0000-0100-000009000000}"/>
  </hyperlinks>
  <pageMargins left="0.43307086614173229" right="0.51181102362204722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620"/>
  <sheetViews>
    <sheetView zoomScaleNormal="100" workbookViewId="0">
      <selection activeCell="E119" sqref="E119"/>
    </sheetView>
  </sheetViews>
  <sheetFormatPr defaultRowHeight="12.5" x14ac:dyDescent="0.25"/>
  <cols>
    <col min="1" max="1" width="11.54296875" customWidth="1"/>
    <col min="2" max="15" width="7.26953125" customWidth="1"/>
    <col min="16" max="16" width="9.54296875" customWidth="1"/>
    <col min="17" max="17" width="7.26953125" customWidth="1"/>
  </cols>
  <sheetData>
    <row r="1" spans="1:64" ht="20.25" customHeight="1" thickBot="1" x14ac:dyDescent="0.3">
      <c r="A1" s="135" t="s">
        <v>508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</row>
    <row r="2" spans="1:64" ht="11.25" customHeight="1" x14ac:dyDescent="0.25">
      <c r="A2" s="137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</row>
    <row r="3" spans="1:64" ht="15.75" customHeight="1" x14ac:dyDescent="0.25">
      <c r="A3" s="137"/>
      <c r="B3" s="137" t="s">
        <v>252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</row>
    <row r="4" spans="1:64" x14ac:dyDescent="0.25">
      <c r="A4" s="118" t="s">
        <v>393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8" t="s">
        <v>253</v>
      </c>
      <c r="P4" s="118" t="s">
        <v>254</v>
      </c>
      <c r="Q4" s="118" t="s">
        <v>255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</row>
    <row r="5" spans="1:64" x14ac:dyDescent="0.25">
      <c r="A5" s="121" t="s">
        <v>269</v>
      </c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120">
        <f>SUM(B5:N5)</f>
        <v>0</v>
      </c>
      <c r="P5" s="315"/>
      <c r="Q5" s="120">
        <f>O5-P5</f>
        <v>0</v>
      </c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</row>
    <row r="6" spans="1:64" x14ac:dyDescent="0.25">
      <c r="A6" s="121">
        <v>1.2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120">
        <f t="shared" ref="O6:O14" si="0">SUM(B6:N6)</f>
        <v>0</v>
      </c>
      <c r="P6" s="315"/>
      <c r="Q6" s="120">
        <f t="shared" ref="Q6:Q14" si="1">O6-P6</f>
        <v>0</v>
      </c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</row>
    <row r="7" spans="1:64" x14ac:dyDescent="0.25">
      <c r="A7" s="121">
        <v>1.4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120">
        <f t="shared" si="0"/>
        <v>0</v>
      </c>
      <c r="P7" s="315"/>
      <c r="Q7" s="120">
        <f t="shared" si="1"/>
        <v>0</v>
      </c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</row>
    <row r="8" spans="1:64" x14ac:dyDescent="0.25">
      <c r="A8" s="121">
        <v>1.6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120">
        <f t="shared" si="0"/>
        <v>0</v>
      </c>
      <c r="P8" s="315"/>
      <c r="Q8" s="120">
        <f t="shared" si="1"/>
        <v>0</v>
      </c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</row>
    <row r="9" spans="1:64" x14ac:dyDescent="0.25">
      <c r="A9" s="121">
        <v>1.8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120">
        <f t="shared" si="0"/>
        <v>0</v>
      </c>
      <c r="P9" s="315"/>
      <c r="Q9" s="120">
        <f t="shared" si="1"/>
        <v>0</v>
      </c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</row>
    <row r="10" spans="1:64" x14ac:dyDescent="0.25">
      <c r="A10" s="121">
        <v>2</v>
      </c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120">
        <f t="shared" si="0"/>
        <v>0</v>
      </c>
      <c r="P10" s="315"/>
      <c r="Q10" s="120">
        <f t="shared" si="1"/>
        <v>0</v>
      </c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</row>
    <row r="11" spans="1:64" x14ac:dyDescent="0.25">
      <c r="A11" s="121">
        <v>2.4</v>
      </c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120">
        <f t="shared" si="0"/>
        <v>0</v>
      </c>
      <c r="P11" s="315"/>
      <c r="Q11" s="120">
        <f t="shared" si="1"/>
        <v>0</v>
      </c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</row>
    <row r="12" spans="1:64" x14ac:dyDescent="0.25">
      <c r="A12" s="121">
        <v>2.8</v>
      </c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120">
        <f t="shared" si="0"/>
        <v>0</v>
      </c>
      <c r="P12" s="315"/>
      <c r="Q12" s="120">
        <f t="shared" si="1"/>
        <v>0</v>
      </c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</row>
    <row r="13" spans="1:64" x14ac:dyDescent="0.25">
      <c r="A13" s="121">
        <v>3.2</v>
      </c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120">
        <f t="shared" si="0"/>
        <v>0</v>
      </c>
      <c r="P13" s="315"/>
      <c r="Q13" s="120">
        <f t="shared" si="1"/>
        <v>0</v>
      </c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</row>
    <row r="14" spans="1:64" x14ac:dyDescent="0.25">
      <c r="A14" s="121">
        <v>3.6</v>
      </c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  <c r="O14" s="120">
        <f t="shared" si="0"/>
        <v>0</v>
      </c>
      <c r="P14" s="315"/>
      <c r="Q14" s="120">
        <f t="shared" si="1"/>
        <v>0</v>
      </c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</row>
    <row r="15" spans="1:64" x14ac:dyDescent="0.25">
      <c r="A15" s="121">
        <v>3.8</v>
      </c>
      <c r="B15" s="314"/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120">
        <f>SUM(B15:N15)</f>
        <v>0</v>
      </c>
      <c r="P15" s="315"/>
      <c r="Q15" s="120">
        <f>O15-P15</f>
        <v>0</v>
      </c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</row>
    <row r="16" spans="1:64" x14ac:dyDescent="0.25">
      <c r="A16" s="121">
        <v>4</v>
      </c>
      <c r="B16" s="314"/>
      <c r="C16" s="314"/>
      <c r="D16" s="314"/>
      <c r="E16" s="314"/>
      <c r="F16" s="314"/>
      <c r="G16" s="314"/>
      <c r="H16" s="314"/>
      <c r="I16" s="314"/>
      <c r="J16" s="314"/>
      <c r="K16" s="314"/>
      <c r="L16" s="314"/>
      <c r="M16" s="314"/>
      <c r="N16" s="314"/>
      <c r="O16" s="120">
        <f t="shared" ref="O16:O24" si="2">SUM(B16:N16)</f>
        <v>0</v>
      </c>
      <c r="P16" s="315"/>
      <c r="Q16" s="120">
        <f t="shared" ref="Q16:Q24" si="3">O16-P16</f>
        <v>0</v>
      </c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</row>
    <row r="17" spans="1:64" x14ac:dyDescent="0.25">
      <c r="A17" s="121">
        <v>4.4000000000000004</v>
      </c>
      <c r="B17" s="314"/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120">
        <f t="shared" si="2"/>
        <v>0</v>
      </c>
      <c r="P17" s="315"/>
      <c r="Q17" s="120">
        <f t="shared" si="3"/>
        <v>0</v>
      </c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</row>
    <row r="18" spans="1:64" x14ac:dyDescent="0.25">
      <c r="A18" s="121">
        <v>4.8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120">
        <f t="shared" si="2"/>
        <v>0</v>
      </c>
      <c r="P18" s="315"/>
      <c r="Q18" s="120">
        <f t="shared" si="3"/>
        <v>0</v>
      </c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</row>
    <row r="19" spans="1:64" x14ac:dyDescent="0.25">
      <c r="A19" s="121">
        <v>5</v>
      </c>
      <c r="B19" s="314"/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120">
        <f t="shared" si="2"/>
        <v>0</v>
      </c>
      <c r="P19" s="315"/>
      <c r="Q19" s="120">
        <f t="shared" si="3"/>
        <v>0</v>
      </c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</row>
    <row r="20" spans="1:64" x14ac:dyDescent="0.25">
      <c r="A20" s="121">
        <v>5.4</v>
      </c>
      <c r="B20" s="314"/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120">
        <f t="shared" si="2"/>
        <v>0</v>
      </c>
      <c r="P20" s="315"/>
      <c r="Q20" s="120">
        <f t="shared" si="3"/>
        <v>0</v>
      </c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</row>
    <row r="21" spans="1:64" x14ac:dyDescent="0.25">
      <c r="A21" s="121">
        <v>5.8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120">
        <f t="shared" si="2"/>
        <v>0</v>
      </c>
      <c r="P21" s="315"/>
      <c r="Q21" s="120">
        <f t="shared" si="3"/>
        <v>0</v>
      </c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</row>
    <row r="22" spans="1:64" x14ac:dyDescent="0.25">
      <c r="A22" s="121">
        <v>6</v>
      </c>
      <c r="B22" s="314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120">
        <f t="shared" si="2"/>
        <v>0</v>
      </c>
      <c r="P22" s="315"/>
      <c r="Q22" s="120">
        <f t="shared" si="3"/>
        <v>0</v>
      </c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</row>
    <row r="23" spans="1:64" x14ac:dyDescent="0.25">
      <c r="A23" s="121">
        <v>6.4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120">
        <f t="shared" si="2"/>
        <v>0</v>
      </c>
      <c r="P23" s="315"/>
      <c r="Q23" s="120">
        <f t="shared" si="3"/>
        <v>0</v>
      </c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</row>
    <row r="24" spans="1:64" x14ac:dyDescent="0.25">
      <c r="A24" s="121">
        <v>6.8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120">
        <f t="shared" si="2"/>
        <v>0</v>
      </c>
      <c r="P24" s="315"/>
      <c r="Q24" s="120">
        <f t="shared" si="3"/>
        <v>0</v>
      </c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</row>
    <row r="25" spans="1:64" x14ac:dyDescent="0.25">
      <c r="A25" s="121">
        <v>7.2</v>
      </c>
      <c r="B25" s="314"/>
      <c r="C25" s="3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4"/>
      <c r="O25" s="120">
        <f>SUM(B25:N25)</f>
        <v>0</v>
      </c>
      <c r="P25" s="315"/>
      <c r="Q25" s="120">
        <f>O25-P25</f>
        <v>0</v>
      </c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</row>
    <row r="26" spans="1:64" x14ac:dyDescent="0.25">
      <c r="A26" s="121">
        <v>7.6</v>
      </c>
      <c r="B26" s="314"/>
      <c r="C26" s="314"/>
      <c r="D26" s="314"/>
      <c r="E26" s="314"/>
      <c r="F26" s="314"/>
      <c r="G26" s="314"/>
      <c r="H26" s="314"/>
      <c r="I26" s="314"/>
      <c r="J26" s="314"/>
      <c r="K26" s="314"/>
      <c r="L26" s="314"/>
      <c r="M26" s="314"/>
      <c r="N26" s="314"/>
      <c r="O26" s="120">
        <f>SUM(B26:N26)</f>
        <v>0</v>
      </c>
      <c r="P26" s="315"/>
      <c r="Q26" s="120">
        <f>O26-P26</f>
        <v>0</v>
      </c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</row>
    <row r="27" spans="1:64" x14ac:dyDescent="0.25">
      <c r="A27" s="121">
        <v>8</v>
      </c>
      <c r="B27" s="314"/>
      <c r="C27" s="314"/>
      <c r="D27" s="314"/>
      <c r="E27" s="314"/>
      <c r="F27" s="314"/>
      <c r="G27" s="314"/>
      <c r="H27" s="314"/>
      <c r="I27" s="314"/>
      <c r="J27" s="314"/>
      <c r="K27" s="314"/>
      <c r="L27" s="314"/>
      <c r="M27" s="314"/>
      <c r="N27" s="314"/>
      <c r="O27" s="120">
        <f>SUM(B27:N27)</f>
        <v>0</v>
      </c>
      <c r="P27" s="315"/>
      <c r="Q27" s="120">
        <f>O27-P27</f>
        <v>0</v>
      </c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</row>
    <row r="28" spans="1:64" x14ac:dyDescent="0.25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</row>
    <row r="29" spans="1:64" ht="13" thickBot="1" x14ac:dyDescent="0.3">
      <c r="A29" s="135" t="s">
        <v>270</v>
      </c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7"/>
      <c r="M29" s="137"/>
      <c r="N29" s="137"/>
      <c r="O29" s="137"/>
      <c r="P29" s="137"/>
      <c r="Q29" s="137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</row>
    <row r="30" spans="1:64" x14ac:dyDescent="0.25">
      <c r="A30" s="137"/>
      <c r="B30" s="137"/>
      <c r="C30" s="137"/>
      <c r="D30" s="137"/>
      <c r="E30" s="137"/>
      <c r="F30" s="137"/>
      <c r="G30" s="137"/>
      <c r="H30" s="137"/>
      <c r="I30" s="137"/>
      <c r="J30" s="137"/>
      <c r="K30" s="137"/>
      <c r="L30" s="302"/>
      <c r="M30" s="137"/>
      <c r="N30" s="328" t="s">
        <v>234</v>
      </c>
      <c r="O30" s="137"/>
      <c r="P30" s="326" t="s">
        <v>299</v>
      </c>
      <c r="Q30" s="137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</row>
    <row r="31" spans="1:64" x14ac:dyDescent="0.25">
      <c r="A31" s="137"/>
      <c r="B31" s="137" t="s">
        <v>252</v>
      </c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</row>
    <row r="32" spans="1:64" x14ac:dyDescent="0.25">
      <c r="A32" s="118" t="s">
        <v>393</v>
      </c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8" t="s">
        <v>253</v>
      </c>
      <c r="P32" s="118" t="s">
        <v>254</v>
      </c>
      <c r="Q32" s="118" t="s">
        <v>255</v>
      </c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</row>
    <row r="33" spans="1:64" x14ac:dyDescent="0.25">
      <c r="A33" s="121" t="s">
        <v>269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314"/>
      <c r="O33" s="120">
        <f>SUM(B33:N33)</f>
        <v>0</v>
      </c>
      <c r="P33" s="315"/>
      <c r="Q33" s="120">
        <f>O33-P33</f>
        <v>0</v>
      </c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</row>
    <row r="34" spans="1:64" x14ac:dyDescent="0.25">
      <c r="A34" s="121">
        <v>1.2</v>
      </c>
      <c r="B34" s="314"/>
      <c r="C34" s="314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120">
        <f t="shared" ref="O34:O42" si="4">SUM(B34:N34)</f>
        <v>0</v>
      </c>
      <c r="P34" s="315"/>
      <c r="Q34" s="120">
        <f t="shared" ref="Q34:Q42" si="5">O34-P34</f>
        <v>0</v>
      </c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</row>
    <row r="35" spans="1:64" x14ac:dyDescent="0.25">
      <c r="A35" s="121">
        <v>1.4</v>
      </c>
      <c r="B35" s="314"/>
      <c r="C35" s="314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120">
        <f t="shared" si="4"/>
        <v>0</v>
      </c>
      <c r="P35" s="315"/>
      <c r="Q35" s="120">
        <f t="shared" si="5"/>
        <v>0</v>
      </c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</row>
    <row r="36" spans="1:64" x14ac:dyDescent="0.25">
      <c r="A36" s="121">
        <v>1.6</v>
      </c>
      <c r="B36" s="314"/>
      <c r="C36" s="314"/>
      <c r="D36" s="314"/>
      <c r="E36" s="314"/>
      <c r="F36" s="314"/>
      <c r="G36" s="314"/>
      <c r="H36" s="316"/>
      <c r="I36" s="314"/>
      <c r="J36" s="314"/>
      <c r="K36" s="314"/>
      <c r="L36" s="314"/>
      <c r="M36" s="314"/>
      <c r="N36" s="314"/>
      <c r="O36" s="120">
        <f t="shared" si="4"/>
        <v>0</v>
      </c>
      <c r="P36" s="315"/>
      <c r="Q36" s="120">
        <f t="shared" si="5"/>
        <v>0</v>
      </c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</row>
    <row r="37" spans="1:64" x14ac:dyDescent="0.25">
      <c r="A37" s="121">
        <v>1.8</v>
      </c>
      <c r="B37" s="314"/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314"/>
      <c r="O37" s="120">
        <f t="shared" si="4"/>
        <v>0</v>
      </c>
      <c r="P37" s="315"/>
      <c r="Q37" s="120">
        <f t="shared" si="5"/>
        <v>0</v>
      </c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</row>
    <row r="38" spans="1:64" x14ac:dyDescent="0.25">
      <c r="A38" s="121">
        <v>2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4"/>
      <c r="N38" s="314"/>
      <c r="O38" s="120">
        <f t="shared" si="4"/>
        <v>0</v>
      </c>
      <c r="P38" s="315"/>
      <c r="Q38" s="120">
        <f t="shared" si="5"/>
        <v>0</v>
      </c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</row>
    <row r="39" spans="1:64" x14ac:dyDescent="0.25">
      <c r="A39" s="121">
        <v>2.4</v>
      </c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120">
        <f t="shared" si="4"/>
        <v>0</v>
      </c>
      <c r="P39" s="315"/>
      <c r="Q39" s="120">
        <f t="shared" si="5"/>
        <v>0</v>
      </c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</row>
    <row r="40" spans="1:64" x14ac:dyDescent="0.25">
      <c r="A40" s="121">
        <v>2.8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120">
        <f t="shared" si="4"/>
        <v>0</v>
      </c>
      <c r="P40" s="315"/>
      <c r="Q40" s="120">
        <f t="shared" si="5"/>
        <v>0</v>
      </c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</row>
    <row r="41" spans="1:64" x14ac:dyDescent="0.25">
      <c r="A41" s="121">
        <v>3.2</v>
      </c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120">
        <f t="shared" si="4"/>
        <v>0</v>
      </c>
      <c r="P41" s="315"/>
      <c r="Q41" s="120">
        <f t="shared" si="5"/>
        <v>0</v>
      </c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</row>
    <row r="42" spans="1:64" x14ac:dyDescent="0.25">
      <c r="A42" s="121">
        <v>3.6</v>
      </c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120">
        <f t="shared" si="4"/>
        <v>0</v>
      </c>
      <c r="P42" s="315"/>
      <c r="Q42" s="120">
        <f t="shared" si="5"/>
        <v>0</v>
      </c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</row>
    <row r="43" spans="1:64" x14ac:dyDescent="0.25">
      <c r="A43" s="121">
        <v>3.8</v>
      </c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120">
        <f>SUM(B43:N43)</f>
        <v>0</v>
      </c>
      <c r="P43" s="315"/>
      <c r="Q43" s="120">
        <f>O43-P43</f>
        <v>0</v>
      </c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</row>
    <row r="44" spans="1:64" x14ac:dyDescent="0.25">
      <c r="A44" s="121">
        <v>4</v>
      </c>
      <c r="B44" s="314"/>
      <c r="C44" s="314"/>
      <c r="D44" s="314"/>
      <c r="E44" s="314"/>
      <c r="F44" s="314"/>
      <c r="G44" s="314"/>
      <c r="H44" s="314"/>
      <c r="I44" s="314"/>
      <c r="J44" s="314"/>
      <c r="K44" s="314"/>
      <c r="L44" s="314"/>
      <c r="M44" s="314"/>
      <c r="N44" s="314"/>
      <c r="O44" s="120">
        <f t="shared" ref="O44:O52" si="6">SUM(B44:N44)</f>
        <v>0</v>
      </c>
      <c r="P44" s="315"/>
      <c r="Q44" s="120">
        <f t="shared" ref="Q44:Q52" si="7">O44-P44</f>
        <v>0</v>
      </c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</row>
    <row r="45" spans="1:64" x14ac:dyDescent="0.25">
      <c r="A45" s="121">
        <v>4.4000000000000004</v>
      </c>
      <c r="B45" s="314"/>
      <c r="C45" s="314"/>
      <c r="D45" s="314"/>
      <c r="E45" s="314"/>
      <c r="F45" s="314"/>
      <c r="G45" s="314"/>
      <c r="H45" s="314"/>
      <c r="I45" s="314"/>
      <c r="J45" s="314"/>
      <c r="K45" s="314"/>
      <c r="L45" s="314"/>
      <c r="M45" s="314"/>
      <c r="N45" s="314"/>
      <c r="O45" s="120">
        <f t="shared" si="6"/>
        <v>0</v>
      </c>
      <c r="P45" s="315"/>
      <c r="Q45" s="120">
        <f t="shared" si="7"/>
        <v>0</v>
      </c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</row>
    <row r="46" spans="1:64" x14ac:dyDescent="0.25">
      <c r="A46" s="121">
        <v>4.8</v>
      </c>
      <c r="B46" s="314"/>
      <c r="C46" s="314"/>
      <c r="D46" s="314"/>
      <c r="E46" s="314"/>
      <c r="F46" s="314"/>
      <c r="G46" s="314"/>
      <c r="H46" s="314"/>
      <c r="I46" s="314"/>
      <c r="J46" s="314"/>
      <c r="K46" s="314"/>
      <c r="L46" s="314"/>
      <c r="M46" s="314"/>
      <c r="N46" s="314"/>
      <c r="O46" s="120">
        <f t="shared" si="6"/>
        <v>0</v>
      </c>
      <c r="P46" s="315"/>
      <c r="Q46" s="120">
        <f t="shared" si="7"/>
        <v>0</v>
      </c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</row>
    <row r="47" spans="1:64" x14ac:dyDescent="0.25">
      <c r="A47" s="121">
        <v>5</v>
      </c>
      <c r="B47" s="314"/>
      <c r="C47" s="314"/>
      <c r="D47" s="314"/>
      <c r="E47" s="314"/>
      <c r="F47" s="314"/>
      <c r="G47" s="314"/>
      <c r="H47" s="314"/>
      <c r="I47" s="314"/>
      <c r="J47" s="314"/>
      <c r="K47" s="314"/>
      <c r="L47" s="314"/>
      <c r="M47" s="314"/>
      <c r="N47" s="314"/>
      <c r="O47" s="120">
        <f t="shared" si="6"/>
        <v>0</v>
      </c>
      <c r="P47" s="315"/>
      <c r="Q47" s="120">
        <f t="shared" si="7"/>
        <v>0</v>
      </c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</row>
    <row r="48" spans="1:64" x14ac:dyDescent="0.25">
      <c r="A48" s="121">
        <v>5.4</v>
      </c>
      <c r="B48" s="314"/>
      <c r="C48" s="314"/>
      <c r="D48" s="314"/>
      <c r="E48" s="314"/>
      <c r="F48" s="314"/>
      <c r="G48" s="314"/>
      <c r="H48" s="314"/>
      <c r="I48" s="314"/>
      <c r="J48" s="314"/>
      <c r="K48" s="314"/>
      <c r="L48" s="314"/>
      <c r="M48" s="314"/>
      <c r="N48" s="314"/>
      <c r="O48" s="120">
        <f t="shared" si="6"/>
        <v>0</v>
      </c>
      <c r="P48" s="315"/>
      <c r="Q48" s="120">
        <f t="shared" si="7"/>
        <v>0</v>
      </c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</row>
    <row r="49" spans="1:64" x14ac:dyDescent="0.25">
      <c r="A49" s="121">
        <v>5.8</v>
      </c>
      <c r="B49" s="314"/>
      <c r="C49" s="314"/>
      <c r="D49" s="314"/>
      <c r="E49" s="314"/>
      <c r="F49" s="314"/>
      <c r="G49" s="314"/>
      <c r="H49" s="314"/>
      <c r="I49" s="314"/>
      <c r="J49" s="314"/>
      <c r="K49" s="314"/>
      <c r="L49" s="314"/>
      <c r="M49" s="314"/>
      <c r="N49" s="314"/>
      <c r="O49" s="120">
        <f t="shared" si="6"/>
        <v>0</v>
      </c>
      <c r="P49" s="315"/>
      <c r="Q49" s="120">
        <f t="shared" si="7"/>
        <v>0</v>
      </c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</row>
    <row r="50" spans="1:64" x14ac:dyDescent="0.25">
      <c r="A50" s="121">
        <v>6</v>
      </c>
      <c r="B50" s="314"/>
      <c r="C50" s="314"/>
      <c r="D50" s="314"/>
      <c r="E50" s="314"/>
      <c r="F50" s="314"/>
      <c r="G50" s="314"/>
      <c r="H50" s="314"/>
      <c r="I50" s="314"/>
      <c r="J50" s="314"/>
      <c r="K50" s="314"/>
      <c r="L50" s="314"/>
      <c r="M50" s="314"/>
      <c r="N50" s="314"/>
      <c r="O50" s="120">
        <f t="shared" si="6"/>
        <v>0</v>
      </c>
      <c r="P50" s="315"/>
      <c r="Q50" s="120">
        <f t="shared" si="7"/>
        <v>0</v>
      </c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</row>
    <row r="51" spans="1:64" x14ac:dyDescent="0.25">
      <c r="A51" s="121">
        <v>6.4</v>
      </c>
      <c r="B51" s="314"/>
      <c r="C51" s="314"/>
      <c r="D51" s="314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120">
        <f t="shared" si="6"/>
        <v>0</v>
      </c>
      <c r="P51" s="315"/>
      <c r="Q51" s="120">
        <f t="shared" si="7"/>
        <v>0</v>
      </c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</row>
    <row r="52" spans="1:64" x14ac:dyDescent="0.25">
      <c r="A52" s="121">
        <v>6.8</v>
      </c>
      <c r="B52" s="314"/>
      <c r="C52" s="314"/>
      <c r="D52" s="314"/>
      <c r="E52" s="314"/>
      <c r="F52" s="314"/>
      <c r="G52" s="314"/>
      <c r="H52" s="314"/>
      <c r="I52" s="314"/>
      <c r="J52" s="314"/>
      <c r="K52" s="314"/>
      <c r="L52" s="314"/>
      <c r="M52" s="314"/>
      <c r="N52" s="314"/>
      <c r="O52" s="120">
        <f t="shared" si="6"/>
        <v>0</v>
      </c>
      <c r="P52" s="315"/>
      <c r="Q52" s="120">
        <f t="shared" si="7"/>
        <v>0</v>
      </c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</row>
    <row r="53" spans="1:64" x14ac:dyDescent="0.25">
      <c r="A53" s="121">
        <v>7.2</v>
      </c>
      <c r="B53" s="314"/>
      <c r="C53" s="314"/>
      <c r="D53" s="314"/>
      <c r="E53" s="314"/>
      <c r="F53" s="314"/>
      <c r="G53" s="314"/>
      <c r="H53" s="314"/>
      <c r="I53" s="314"/>
      <c r="J53" s="314"/>
      <c r="K53" s="314"/>
      <c r="L53" s="314"/>
      <c r="M53" s="314"/>
      <c r="N53" s="314"/>
      <c r="O53" s="120">
        <f>SUM(B53:N53)</f>
        <v>0</v>
      </c>
      <c r="P53" s="315"/>
      <c r="Q53" s="120">
        <f>O53-P53</f>
        <v>0</v>
      </c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</row>
    <row r="54" spans="1:64" x14ac:dyDescent="0.25">
      <c r="A54" s="121">
        <v>7.6</v>
      </c>
      <c r="B54" s="314"/>
      <c r="C54" s="314"/>
      <c r="D54" s="314"/>
      <c r="E54" s="314"/>
      <c r="F54" s="314"/>
      <c r="G54" s="314"/>
      <c r="H54" s="314"/>
      <c r="I54" s="314"/>
      <c r="J54" s="314"/>
      <c r="K54" s="314"/>
      <c r="L54" s="314"/>
      <c r="M54" s="314"/>
      <c r="N54" s="314"/>
      <c r="O54" s="120">
        <f>SUM(B54:N54)</f>
        <v>0</v>
      </c>
      <c r="P54" s="315"/>
      <c r="Q54" s="120">
        <f>O54-P54</f>
        <v>0</v>
      </c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</row>
    <row r="55" spans="1:64" x14ac:dyDescent="0.25">
      <c r="A55" s="121">
        <v>8</v>
      </c>
      <c r="B55" s="314"/>
      <c r="C55" s="314"/>
      <c r="D55" s="314"/>
      <c r="E55" s="314"/>
      <c r="F55" s="314"/>
      <c r="G55" s="314"/>
      <c r="H55" s="314"/>
      <c r="I55" s="316"/>
      <c r="J55" s="316"/>
      <c r="K55" s="314"/>
      <c r="L55" s="314"/>
      <c r="M55" s="314"/>
      <c r="N55" s="314"/>
      <c r="O55" s="120">
        <f>SUM(B55:N55)</f>
        <v>0</v>
      </c>
      <c r="P55" s="315"/>
      <c r="Q55" s="120">
        <f>O55-P55</f>
        <v>0</v>
      </c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</row>
    <row r="56" spans="1:64" x14ac:dyDescent="0.25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</row>
    <row r="57" spans="1:64" ht="13" thickBot="1" x14ac:dyDescent="0.3">
      <c r="A57" s="135" t="s">
        <v>271</v>
      </c>
      <c r="B57" s="136"/>
      <c r="C57" s="136"/>
      <c r="D57" s="136"/>
      <c r="E57" s="136"/>
      <c r="F57" s="136"/>
      <c r="G57" s="136"/>
      <c r="H57" s="136"/>
      <c r="I57" s="136"/>
      <c r="J57" s="137"/>
      <c r="K57" s="137"/>
      <c r="L57" s="137"/>
      <c r="M57" s="137"/>
      <c r="N57" s="137"/>
      <c r="O57" s="137"/>
      <c r="P57" s="137"/>
      <c r="Q57" s="137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</row>
    <row r="58" spans="1:64" x14ac:dyDescent="0.25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328" t="s">
        <v>234</v>
      </c>
      <c r="O58" s="137"/>
      <c r="P58" s="326" t="s">
        <v>299</v>
      </c>
      <c r="Q58" s="137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</row>
    <row r="59" spans="1:64" x14ac:dyDescent="0.25">
      <c r="A59" s="137"/>
      <c r="B59" s="137" t="s">
        <v>252</v>
      </c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</row>
    <row r="60" spans="1:64" x14ac:dyDescent="0.25">
      <c r="A60" s="118" t="s">
        <v>393</v>
      </c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8" t="s">
        <v>253</v>
      </c>
      <c r="P60" s="118" t="s">
        <v>254</v>
      </c>
      <c r="Q60" s="118" t="s">
        <v>255</v>
      </c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</row>
    <row r="61" spans="1:64" x14ac:dyDescent="0.25">
      <c r="A61" s="121" t="s">
        <v>269</v>
      </c>
      <c r="B61" s="314"/>
      <c r="C61" s="314"/>
      <c r="D61" s="314"/>
      <c r="E61" s="314"/>
      <c r="F61" s="314"/>
      <c r="G61" s="314"/>
      <c r="H61" s="314"/>
      <c r="I61" s="314"/>
      <c r="J61" s="314"/>
      <c r="K61" s="314"/>
      <c r="L61" s="314"/>
      <c r="M61" s="314"/>
      <c r="N61" s="314"/>
      <c r="O61" s="120">
        <f>SUM(B61:N61)</f>
        <v>0</v>
      </c>
      <c r="P61" s="315"/>
      <c r="Q61" s="120">
        <f>O61-P61</f>
        <v>0</v>
      </c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</row>
    <row r="62" spans="1:64" x14ac:dyDescent="0.25">
      <c r="A62" s="121">
        <v>1.2</v>
      </c>
      <c r="B62" s="314"/>
      <c r="C62" s="314"/>
      <c r="D62" s="314"/>
      <c r="E62" s="314"/>
      <c r="F62" s="314"/>
      <c r="G62" s="314"/>
      <c r="H62" s="314"/>
      <c r="I62" s="314"/>
      <c r="J62" s="314"/>
      <c r="K62" s="314"/>
      <c r="L62" s="314"/>
      <c r="M62" s="314"/>
      <c r="N62" s="314"/>
      <c r="O62" s="120">
        <f t="shared" ref="O62:O70" si="8">SUM(B62:N62)</f>
        <v>0</v>
      </c>
      <c r="P62" s="315"/>
      <c r="Q62" s="120">
        <f t="shared" ref="Q62:Q70" si="9">O62-P62</f>
        <v>0</v>
      </c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</row>
    <row r="63" spans="1:64" x14ac:dyDescent="0.25">
      <c r="A63" s="121">
        <v>1.4</v>
      </c>
      <c r="B63" s="314"/>
      <c r="C63" s="314"/>
      <c r="D63" s="314"/>
      <c r="E63" s="314"/>
      <c r="F63" s="314"/>
      <c r="G63" s="314"/>
      <c r="H63" s="314"/>
      <c r="I63" s="314"/>
      <c r="J63" s="314"/>
      <c r="K63" s="314"/>
      <c r="L63" s="314"/>
      <c r="M63" s="314"/>
      <c r="N63" s="314"/>
      <c r="O63" s="120">
        <f t="shared" si="8"/>
        <v>0</v>
      </c>
      <c r="P63" s="315"/>
      <c r="Q63" s="120">
        <f t="shared" si="9"/>
        <v>0</v>
      </c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</row>
    <row r="64" spans="1:64" x14ac:dyDescent="0.25">
      <c r="A64" s="121">
        <v>1.6</v>
      </c>
      <c r="B64" s="314"/>
      <c r="C64" s="314"/>
      <c r="D64" s="314"/>
      <c r="E64" s="314"/>
      <c r="F64" s="314"/>
      <c r="G64" s="314"/>
      <c r="H64" s="314"/>
      <c r="I64" s="314"/>
      <c r="J64" s="314"/>
      <c r="K64" s="314"/>
      <c r="L64" s="314"/>
      <c r="M64" s="314"/>
      <c r="N64" s="314"/>
      <c r="O64" s="120">
        <f t="shared" si="8"/>
        <v>0</v>
      </c>
      <c r="P64" s="315"/>
      <c r="Q64" s="120">
        <f t="shared" si="9"/>
        <v>0</v>
      </c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</row>
    <row r="65" spans="1:64" x14ac:dyDescent="0.25">
      <c r="A65" s="121">
        <v>1.8</v>
      </c>
      <c r="B65" s="314"/>
      <c r="C65" s="314"/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120">
        <f t="shared" si="8"/>
        <v>0</v>
      </c>
      <c r="P65" s="315"/>
      <c r="Q65" s="120">
        <f t="shared" si="9"/>
        <v>0</v>
      </c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</row>
    <row r="66" spans="1:64" x14ac:dyDescent="0.25">
      <c r="A66" s="121">
        <v>2</v>
      </c>
      <c r="B66" s="314"/>
      <c r="C66" s="314"/>
      <c r="D66" s="314"/>
      <c r="E66" s="314"/>
      <c r="F66" s="314"/>
      <c r="G66" s="314"/>
      <c r="H66" s="314"/>
      <c r="I66" s="314"/>
      <c r="J66" s="314"/>
      <c r="K66" s="314"/>
      <c r="L66" s="314"/>
      <c r="M66" s="314"/>
      <c r="N66" s="314"/>
      <c r="O66" s="120">
        <f t="shared" si="8"/>
        <v>0</v>
      </c>
      <c r="P66" s="315"/>
      <c r="Q66" s="120">
        <f t="shared" si="9"/>
        <v>0</v>
      </c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</row>
    <row r="67" spans="1:64" x14ac:dyDescent="0.25">
      <c r="A67" s="121">
        <v>2.4</v>
      </c>
      <c r="B67" s="314"/>
      <c r="C67" s="314"/>
      <c r="D67" s="314"/>
      <c r="E67" s="314"/>
      <c r="F67" s="314"/>
      <c r="G67" s="314"/>
      <c r="H67" s="314"/>
      <c r="I67" s="314"/>
      <c r="J67" s="314"/>
      <c r="K67" s="314"/>
      <c r="L67" s="314"/>
      <c r="M67" s="314"/>
      <c r="N67" s="314"/>
      <c r="O67" s="120">
        <f t="shared" si="8"/>
        <v>0</v>
      </c>
      <c r="P67" s="315"/>
      <c r="Q67" s="120">
        <f t="shared" si="9"/>
        <v>0</v>
      </c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</row>
    <row r="68" spans="1:64" x14ac:dyDescent="0.25">
      <c r="A68" s="121">
        <v>2.8</v>
      </c>
      <c r="B68" s="314"/>
      <c r="C68" s="314"/>
      <c r="D68" s="314"/>
      <c r="E68" s="314"/>
      <c r="F68" s="314"/>
      <c r="G68" s="314"/>
      <c r="H68" s="314"/>
      <c r="I68" s="314"/>
      <c r="J68" s="314"/>
      <c r="K68" s="314"/>
      <c r="L68" s="314"/>
      <c r="M68" s="314"/>
      <c r="N68" s="314"/>
      <c r="O68" s="120">
        <f t="shared" si="8"/>
        <v>0</v>
      </c>
      <c r="P68" s="315"/>
      <c r="Q68" s="120">
        <f t="shared" si="9"/>
        <v>0</v>
      </c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</row>
    <row r="69" spans="1:64" x14ac:dyDescent="0.25">
      <c r="A69" s="121">
        <v>3.2</v>
      </c>
      <c r="B69" s="314"/>
      <c r="C69" s="314"/>
      <c r="D69" s="314"/>
      <c r="E69" s="314"/>
      <c r="F69" s="314"/>
      <c r="G69" s="314"/>
      <c r="H69" s="314"/>
      <c r="I69" s="314"/>
      <c r="J69" s="314"/>
      <c r="K69" s="314"/>
      <c r="L69" s="314"/>
      <c r="M69" s="314"/>
      <c r="N69" s="314"/>
      <c r="O69" s="120">
        <f t="shared" si="8"/>
        <v>0</v>
      </c>
      <c r="P69" s="315"/>
      <c r="Q69" s="120">
        <f t="shared" si="9"/>
        <v>0</v>
      </c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</row>
    <row r="70" spans="1:64" x14ac:dyDescent="0.25">
      <c r="A70" s="121">
        <v>3.6</v>
      </c>
      <c r="B70" s="314"/>
      <c r="C70" s="314"/>
      <c r="D70" s="314"/>
      <c r="E70" s="314"/>
      <c r="F70" s="314"/>
      <c r="G70" s="314"/>
      <c r="H70" s="314"/>
      <c r="I70" s="314"/>
      <c r="J70" s="314"/>
      <c r="K70" s="314"/>
      <c r="L70" s="314"/>
      <c r="M70" s="314"/>
      <c r="N70" s="314"/>
      <c r="O70" s="120">
        <f t="shared" si="8"/>
        <v>0</v>
      </c>
      <c r="P70" s="315"/>
      <c r="Q70" s="120">
        <f t="shared" si="9"/>
        <v>0</v>
      </c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</row>
    <row r="71" spans="1:64" x14ac:dyDescent="0.25">
      <c r="A71" s="121">
        <v>3.8</v>
      </c>
      <c r="B71" s="314"/>
      <c r="C71" s="314"/>
      <c r="D71" s="314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120">
        <f>SUM(B71:N71)</f>
        <v>0</v>
      </c>
      <c r="P71" s="315"/>
      <c r="Q71" s="120">
        <f>O71-P71</f>
        <v>0</v>
      </c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</row>
    <row r="72" spans="1:64" x14ac:dyDescent="0.25">
      <c r="A72" s="121">
        <v>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314"/>
      <c r="M72" s="314"/>
      <c r="N72" s="314"/>
      <c r="O72" s="120">
        <f t="shared" ref="O72:O80" si="10">SUM(B72:N72)</f>
        <v>0</v>
      </c>
      <c r="P72" s="315"/>
      <c r="Q72" s="120">
        <f t="shared" ref="Q72:Q80" si="11">O72-P72</f>
        <v>0</v>
      </c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</row>
    <row r="73" spans="1:64" x14ac:dyDescent="0.25">
      <c r="A73" s="121">
        <v>4.4000000000000004</v>
      </c>
      <c r="B73" s="314"/>
      <c r="C73" s="314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120">
        <f t="shared" si="10"/>
        <v>0</v>
      </c>
      <c r="P73" s="315"/>
      <c r="Q73" s="120">
        <f t="shared" si="11"/>
        <v>0</v>
      </c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</row>
    <row r="74" spans="1:64" x14ac:dyDescent="0.25">
      <c r="A74" s="121">
        <v>4.8</v>
      </c>
      <c r="B74" s="314"/>
      <c r="C74" s="314"/>
      <c r="D74" s="314"/>
      <c r="E74" s="314"/>
      <c r="F74" s="314"/>
      <c r="G74" s="314"/>
      <c r="H74" s="314"/>
      <c r="I74" s="314"/>
      <c r="J74" s="314"/>
      <c r="K74" s="314"/>
      <c r="L74" s="314"/>
      <c r="M74" s="314"/>
      <c r="N74" s="314"/>
      <c r="O74" s="120">
        <f t="shared" si="10"/>
        <v>0</v>
      </c>
      <c r="P74" s="315"/>
      <c r="Q74" s="120">
        <f t="shared" si="11"/>
        <v>0</v>
      </c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</row>
    <row r="75" spans="1:64" x14ac:dyDescent="0.25">
      <c r="A75" s="121">
        <v>5</v>
      </c>
      <c r="B75" s="314"/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120">
        <f t="shared" si="10"/>
        <v>0</v>
      </c>
      <c r="P75" s="315"/>
      <c r="Q75" s="120">
        <f t="shared" si="11"/>
        <v>0</v>
      </c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</row>
    <row r="76" spans="1:64" x14ac:dyDescent="0.25">
      <c r="A76" s="121">
        <v>5.4</v>
      </c>
      <c r="B76" s="314"/>
      <c r="C76" s="314"/>
      <c r="D76" s="314"/>
      <c r="E76" s="314"/>
      <c r="F76" s="314"/>
      <c r="G76" s="314"/>
      <c r="H76" s="314"/>
      <c r="I76" s="314"/>
      <c r="J76" s="314"/>
      <c r="K76" s="314"/>
      <c r="L76" s="314"/>
      <c r="M76" s="314"/>
      <c r="N76" s="314"/>
      <c r="O76" s="120">
        <f t="shared" si="10"/>
        <v>0</v>
      </c>
      <c r="P76" s="315"/>
      <c r="Q76" s="120">
        <f t="shared" si="11"/>
        <v>0</v>
      </c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</row>
    <row r="77" spans="1:64" x14ac:dyDescent="0.25">
      <c r="A77" s="121">
        <v>5.8</v>
      </c>
      <c r="B77" s="314"/>
      <c r="C77" s="314"/>
      <c r="D77" s="314"/>
      <c r="E77" s="314"/>
      <c r="F77" s="314"/>
      <c r="G77" s="314"/>
      <c r="H77" s="314"/>
      <c r="I77" s="314"/>
      <c r="J77" s="314"/>
      <c r="K77" s="314"/>
      <c r="L77" s="314"/>
      <c r="M77" s="314"/>
      <c r="N77" s="314"/>
      <c r="O77" s="120">
        <f t="shared" si="10"/>
        <v>0</v>
      </c>
      <c r="P77" s="315"/>
      <c r="Q77" s="120">
        <f t="shared" si="11"/>
        <v>0</v>
      </c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</row>
    <row r="78" spans="1:64" x14ac:dyDescent="0.25">
      <c r="A78" s="121">
        <v>6</v>
      </c>
      <c r="B78" s="314"/>
      <c r="C78" s="314"/>
      <c r="D78" s="314"/>
      <c r="E78" s="314"/>
      <c r="F78" s="314"/>
      <c r="G78" s="314"/>
      <c r="H78" s="314"/>
      <c r="I78" s="314"/>
      <c r="J78" s="314"/>
      <c r="K78" s="314"/>
      <c r="L78" s="314"/>
      <c r="M78" s="314"/>
      <c r="N78" s="314"/>
      <c r="O78" s="120">
        <f t="shared" si="10"/>
        <v>0</v>
      </c>
      <c r="P78" s="315"/>
      <c r="Q78" s="120">
        <f t="shared" si="11"/>
        <v>0</v>
      </c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</row>
    <row r="79" spans="1:64" x14ac:dyDescent="0.25">
      <c r="A79" s="121">
        <v>6.4</v>
      </c>
      <c r="B79" s="314"/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120">
        <f t="shared" si="10"/>
        <v>0</v>
      </c>
      <c r="P79" s="315"/>
      <c r="Q79" s="120">
        <f t="shared" si="11"/>
        <v>0</v>
      </c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</row>
    <row r="80" spans="1:64" x14ac:dyDescent="0.25">
      <c r="A80" s="121">
        <v>6.8</v>
      </c>
      <c r="B80" s="314"/>
      <c r="C80" s="314"/>
      <c r="D80" s="314"/>
      <c r="E80" s="314"/>
      <c r="F80" s="314"/>
      <c r="G80" s="314"/>
      <c r="H80" s="314"/>
      <c r="I80" s="314"/>
      <c r="J80" s="314"/>
      <c r="K80" s="314"/>
      <c r="L80" s="314"/>
      <c r="M80" s="314"/>
      <c r="N80" s="314"/>
      <c r="O80" s="120">
        <f t="shared" si="10"/>
        <v>0</v>
      </c>
      <c r="P80" s="315"/>
      <c r="Q80" s="120">
        <f t="shared" si="11"/>
        <v>0</v>
      </c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</row>
    <row r="81" spans="1:64" x14ac:dyDescent="0.25">
      <c r="A81" s="121">
        <v>7.2</v>
      </c>
      <c r="B81" s="314"/>
      <c r="C81" s="314"/>
      <c r="D81" s="314"/>
      <c r="E81" s="314"/>
      <c r="F81" s="314"/>
      <c r="G81" s="314"/>
      <c r="H81" s="314"/>
      <c r="I81" s="314"/>
      <c r="J81" s="314"/>
      <c r="K81" s="314"/>
      <c r="L81" s="314"/>
      <c r="M81" s="314"/>
      <c r="N81" s="314"/>
      <c r="O81" s="120">
        <f>SUM(B81:N81)</f>
        <v>0</v>
      </c>
      <c r="P81" s="315"/>
      <c r="Q81" s="120">
        <f>O81-P81</f>
        <v>0</v>
      </c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</row>
    <row r="82" spans="1:64" x14ac:dyDescent="0.25">
      <c r="A82" s="121">
        <v>7.6</v>
      </c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120">
        <f>SUM(B82:N82)</f>
        <v>0</v>
      </c>
      <c r="P82" s="315"/>
      <c r="Q82" s="120">
        <f>O82-P82</f>
        <v>0</v>
      </c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</row>
    <row r="83" spans="1:64" x14ac:dyDescent="0.25">
      <c r="A83" s="121">
        <v>8</v>
      </c>
      <c r="B83" s="314"/>
      <c r="C83" s="314"/>
      <c r="D83" s="314"/>
      <c r="E83" s="314"/>
      <c r="F83" s="314"/>
      <c r="G83" s="314"/>
      <c r="H83" s="314"/>
      <c r="I83" s="314"/>
      <c r="J83" s="314"/>
      <c r="K83" s="314"/>
      <c r="L83" s="314"/>
      <c r="M83" s="314"/>
      <c r="N83" s="314"/>
      <c r="O83" s="120">
        <f>SUM(B83:N83)</f>
        <v>0</v>
      </c>
      <c r="P83" s="315"/>
      <c r="Q83" s="120">
        <f>O83-P83</f>
        <v>0</v>
      </c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</row>
    <row r="84" spans="1:64" x14ac:dyDescent="0.25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</row>
    <row r="85" spans="1:64" ht="13" thickBot="1" x14ac:dyDescent="0.3">
      <c r="A85" s="135" t="s">
        <v>272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7"/>
      <c r="N85" s="137"/>
      <c r="O85" s="137"/>
      <c r="P85" s="137"/>
      <c r="Q85" s="137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</row>
    <row r="86" spans="1:64" x14ac:dyDescent="0.25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328" t="s">
        <v>234</v>
      </c>
      <c r="O86" s="137"/>
      <c r="P86" s="326" t="s">
        <v>299</v>
      </c>
      <c r="Q86" s="137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</row>
    <row r="87" spans="1:64" x14ac:dyDescent="0.25">
      <c r="A87" s="137"/>
      <c r="B87" s="137" t="s">
        <v>252</v>
      </c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</row>
    <row r="88" spans="1:64" x14ac:dyDescent="0.25">
      <c r="A88" s="118" t="s">
        <v>393</v>
      </c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8" t="s">
        <v>253</v>
      </c>
      <c r="P88" s="118" t="s">
        <v>254</v>
      </c>
      <c r="Q88" s="118" t="s">
        <v>255</v>
      </c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</row>
    <row r="89" spans="1:64" x14ac:dyDescent="0.25">
      <c r="A89" s="121" t="s">
        <v>269</v>
      </c>
      <c r="B89" s="314"/>
      <c r="C89" s="314"/>
      <c r="D89" s="314"/>
      <c r="E89" s="314"/>
      <c r="F89" s="314"/>
      <c r="G89" s="314"/>
      <c r="H89" s="314"/>
      <c r="I89" s="314"/>
      <c r="J89" s="314"/>
      <c r="K89" s="314"/>
      <c r="L89" s="314"/>
      <c r="M89" s="314"/>
      <c r="N89" s="314"/>
      <c r="O89" s="120">
        <f>SUM(B89:N89)</f>
        <v>0</v>
      </c>
      <c r="P89" s="315"/>
      <c r="Q89" s="120">
        <f>O89-P89</f>
        <v>0</v>
      </c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</row>
    <row r="90" spans="1:64" x14ac:dyDescent="0.25">
      <c r="A90" s="121">
        <v>1.2</v>
      </c>
      <c r="B90" s="314"/>
      <c r="C90" s="314"/>
      <c r="D90" s="314"/>
      <c r="E90" s="314"/>
      <c r="F90" s="314"/>
      <c r="G90" s="314"/>
      <c r="H90" s="314"/>
      <c r="I90" s="314"/>
      <c r="J90" s="314"/>
      <c r="K90" s="314"/>
      <c r="L90" s="314"/>
      <c r="M90" s="314"/>
      <c r="N90" s="314"/>
      <c r="O90" s="120">
        <f t="shared" ref="O90:O98" si="12">SUM(B90:N90)</f>
        <v>0</v>
      </c>
      <c r="P90" s="315"/>
      <c r="Q90" s="120">
        <f t="shared" ref="Q90:Q98" si="13">O90-P90</f>
        <v>0</v>
      </c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</row>
    <row r="91" spans="1:64" x14ac:dyDescent="0.25">
      <c r="A91" s="121">
        <v>1.4</v>
      </c>
      <c r="B91" s="314"/>
      <c r="C91" s="314"/>
      <c r="D91" s="314"/>
      <c r="E91" s="314"/>
      <c r="F91" s="314"/>
      <c r="G91" s="314"/>
      <c r="H91" s="314"/>
      <c r="I91" s="314"/>
      <c r="J91" s="314"/>
      <c r="K91" s="314"/>
      <c r="L91" s="314"/>
      <c r="M91" s="314"/>
      <c r="N91" s="314"/>
      <c r="O91" s="120">
        <f t="shared" si="12"/>
        <v>0</v>
      </c>
      <c r="P91" s="315"/>
      <c r="Q91" s="120">
        <f t="shared" si="13"/>
        <v>0</v>
      </c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</row>
    <row r="92" spans="1:64" x14ac:dyDescent="0.25">
      <c r="A92" s="121">
        <v>1.6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120">
        <f t="shared" si="12"/>
        <v>0</v>
      </c>
      <c r="P92" s="315"/>
      <c r="Q92" s="120">
        <f t="shared" si="13"/>
        <v>0</v>
      </c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</row>
    <row r="93" spans="1:64" x14ac:dyDescent="0.25">
      <c r="A93" s="121">
        <v>1.8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120">
        <f t="shared" si="12"/>
        <v>0</v>
      </c>
      <c r="P93" s="315"/>
      <c r="Q93" s="120">
        <f t="shared" si="13"/>
        <v>0</v>
      </c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</row>
    <row r="94" spans="1:64" x14ac:dyDescent="0.25">
      <c r="A94" s="121">
        <v>2</v>
      </c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314"/>
      <c r="M94" s="314"/>
      <c r="N94" s="314"/>
      <c r="O94" s="120">
        <f t="shared" si="12"/>
        <v>0</v>
      </c>
      <c r="P94" s="315"/>
      <c r="Q94" s="120">
        <f t="shared" si="13"/>
        <v>0</v>
      </c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</row>
    <row r="95" spans="1:64" x14ac:dyDescent="0.25">
      <c r="A95" s="121">
        <v>2.4</v>
      </c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314"/>
      <c r="M95" s="314"/>
      <c r="N95" s="314"/>
      <c r="O95" s="120">
        <f t="shared" si="12"/>
        <v>0</v>
      </c>
      <c r="P95" s="315"/>
      <c r="Q95" s="120">
        <f t="shared" si="13"/>
        <v>0</v>
      </c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</row>
    <row r="96" spans="1:64" x14ac:dyDescent="0.25">
      <c r="A96" s="121">
        <v>2.8</v>
      </c>
      <c r="B96" s="314"/>
      <c r="C96" s="314"/>
      <c r="D96" s="314"/>
      <c r="E96" s="314"/>
      <c r="F96" s="314"/>
      <c r="G96" s="314"/>
      <c r="H96" s="314"/>
      <c r="I96" s="314"/>
      <c r="J96" s="314"/>
      <c r="K96" s="314"/>
      <c r="L96" s="314"/>
      <c r="M96" s="314"/>
      <c r="N96" s="314"/>
      <c r="O96" s="120">
        <f t="shared" si="12"/>
        <v>0</v>
      </c>
      <c r="P96" s="315"/>
      <c r="Q96" s="120">
        <f t="shared" si="13"/>
        <v>0</v>
      </c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</row>
    <row r="97" spans="1:64" x14ac:dyDescent="0.25">
      <c r="A97" s="121">
        <v>3.2</v>
      </c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314"/>
      <c r="M97" s="314"/>
      <c r="N97" s="314"/>
      <c r="O97" s="120">
        <f t="shared" si="12"/>
        <v>0</v>
      </c>
      <c r="P97" s="315"/>
      <c r="Q97" s="120">
        <f t="shared" si="13"/>
        <v>0</v>
      </c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</row>
    <row r="98" spans="1:64" x14ac:dyDescent="0.25">
      <c r="A98" s="121">
        <v>3.6</v>
      </c>
      <c r="B98" s="314"/>
      <c r="C98" s="314"/>
      <c r="D98" s="314"/>
      <c r="E98" s="314"/>
      <c r="F98" s="314"/>
      <c r="G98" s="314"/>
      <c r="H98" s="314"/>
      <c r="I98" s="314"/>
      <c r="J98" s="314"/>
      <c r="K98" s="314"/>
      <c r="L98" s="314"/>
      <c r="M98" s="314"/>
      <c r="N98" s="314"/>
      <c r="O98" s="120">
        <f t="shared" si="12"/>
        <v>0</v>
      </c>
      <c r="P98" s="315"/>
      <c r="Q98" s="120">
        <f t="shared" si="13"/>
        <v>0</v>
      </c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</row>
    <row r="99" spans="1:64" x14ac:dyDescent="0.25">
      <c r="A99" s="121">
        <v>3.8</v>
      </c>
      <c r="B99" s="314"/>
      <c r="C99" s="314"/>
      <c r="D99" s="314"/>
      <c r="E99" s="314"/>
      <c r="F99" s="314"/>
      <c r="G99" s="314"/>
      <c r="H99" s="314"/>
      <c r="I99" s="314"/>
      <c r="J99" s="314"/>
      <c r="K99" s="314"/>
      <c r="L99" s="314"/>
      <c r="M99" s="314"/>
      <c r="N99" s="314"/>
      <c r="O99" s="120">
        <f>SUM(B99:N99)</f>
        <v>0</v>
      </c>
      <c r="P99" s="315"/>
      <c r="Q99" s="120">
        <f>O99-P99</f>
        <v>0</v>
      </c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</row>
    <row r="100" spans="1:64" x14ac:dyDescent="0.25">
      <c r="A100" s="121">
        <v>4</v>
      </c>
      <c r="B100" s="314"/>
      <c r="C100" s="314"/>
      <c r="D100" s="314"/>
      <c r="E100" s="314"/>
      <c r="F100" s="314"/>
      <c r="G100" s="314"/>
      <c r="H100" s="314"/>
      <c r="I100" s="314"/>
      <c r="J100" s="314"/>
      <c r="K100" s="314"/>
      <c r="L100" s="314"/>
      <c r="M100" s="314"/>
      <c r="N100" s="314"/>
      <c r="O100" s="120">
        <f t="shared" ref="O100:O108" si="14">SUM(B100:N100)</f>
        <v>0</v>
      </c>
      <c r="P100" s="315"/>
      <c r="Q100" s="120">
        <f t="shared" ref="Q100:Q108" si="15">O100-P100</f>
        <v>0</v>
      </c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</row>
    <row r="101" spans="1:64" x14ac:dyDescent="0.25">
      <c r="A101" s="121">
        <v>4.4000000000000004</v>
      </c>
      <c r="B101" s="314"/>
      <c r="C101" s="314"/>
      <c r="D101" s="314"/>
      <c r="E101" s="314"/>
      <c r="F101" s="314"/>
      <c r="G101" s="314"/>
      <c r="H101" s="314"/>
      <c r="I101" s="314"/>
      <c r="J101" s="314"/>
      <c r="K101" s="314"/>
      <c r="L101" s="314"/>
      <c r="M101" s="314"/>
      <c r="N101" s="314"/>
      <c r="O101" s="120">
        <f t="shared" si="14"/>
        <v>0</v>
      </c>
      <c r="P101" s="315"/>
      <c r="Q101" s="120">
        <f t="shared" si="15"/>
        <v>0</v>
      </c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</row>
    <row r="102" spans="1:64" x14ac:dyDescent="0.25">
      <c r="A102" s="121">
        <v>4.8</v>
      </c>
      <c r="B102" s="314"/>
      <c r="C102" s="314"/>
      <c r="D102" s="314"/>
      <c r="E102" s="314"/>
      <c r="F102" s="314"/>
      <c r="G102" s="314"/>
      <c r="H102" s="314"/>
      <c r="I102" s="314"/>
      <c r="J102" s="314"/>
      <c r="K102" s="314"/>
      <c r="L102" s="314"/>
      <c r="M102" s="314"/>
      <c r="N102" s="314"/>
      <c r="O102" s="120">
        <f t="shared" si="14"/>
        <v>0</v>
      </c>
      <c r="P102" s="315"/>
      <c r="Q102" s="120">
        <f t="shared" si="15"/>
        <v>0</v>
      </c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</row>
    <row r="103" spans="1:64" x14ac:dyDescent="0.25">
      <c r="A103" s="121">
        <v>5</v>
      </c>
      <c r="B103" s="314"/>
      <c r="C103" s="314"/>
      <c r="D103" s="314"/>
      <c r="E103" s="314"/>
      <c r="F103" s="314"/>
      <c r="G103" s="314"/>
      <c r="H103" s="314"/>
      <c r="I103" s="314"/>
      <c r="J103" s="314"/>
      <c r="K103" s="314"/>
      <c r="L103" s="314"/>
      <c r="M103" s="314"/>
      <c r="N103" s="314"/>
      <c r="O103" s="120">
        <f t="shared" si="14"/>
        <v>0</v>
      </c>
      <c r="P103" s="315"/>
      <c r="Q103" s="120">
        <f t="shared" si="15"/>
        <v>0</v>
      </c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</row>
    <row r="104" spans="1:64" x14ac:dyDescent="0.25">
      <c r="A104" s="121">
        <v>5.4</v>
      </c>
      <c r="B104" s="314"/>
      <c r="C104" s="314"/>
      <c r="D104" s="314"/>
      <c r="E104" s="314"/>
      <c r="F104" s="314"/>
      <c r="G104" s="314"/>
      <c r="H104" s="314"/>
      <c r="I104" s="314"/>
      <c r="J104" s="314"/>
      <c r="K104" s="314"/>
      <c r="L104" s="314"/>
      <c r="M104" s="314"/>
      <c r="N104" s="314"/>
      <c r="O104" s="120">
        <f t="shared" si="14"/>
        <v>0</v>
      </c>
      <c r="P104" s="315"/>
      <c r="Q104" s="120">
        <f t="shared" si="15"/>
        <v>0</v>
      </c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</row>
    <row r="105" spans="1:64" x14ac:dyDescent="0.25">
      <c r="A105" s="121">
        <v>5.8</v>
      </c>
      <c r="B105" s="314"/>
      <c r="C105" s="314"/>
      <c r="D105" s="314"/>
      <c r="E105" s="314"/>
      <c r="F105" s="314"/>
      <c r="G105" s="314"/>
      <c r="H105" s="314"/>
      <c r="I105" s="314"/>
      <c r="J105" s="314"/>
      <c r="K105" s="314"/>
      <c r="L105" s="314"/>
      <c r="M105" s="314"/>
      <c r="N105" s="314"/>
      <c r="O105" s="120">
        <f t="shared" si="14"/>
        <v>0</v>
      </c>
      <c r="P105" s="315"/>
      <c r="Q105" s="120">
        <f t="shared" si="15"/>
        <v>0</v>
      </c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</row>
    <row r="106" spans="1:64" x14ac:dyDescent="0.25">
      <c r="A106" s="121">
        <v>6</v>
      </c>
      <c r="B106" s="314"/>
      <c r="C106" s="314"/>
      <c r="D106" s="314"/>
      <c r="E106" s="314"/>
      <c r="F106" s="314"/>
      <c r="G106" s="314"/>
      <c r="H106" s="314"/>
      <c r="I106" s="314"/>
      <c r="J106" s="314"/>
      <c r="K106" s="314"/>
      <c r="L106" s="314"/>
      <c r="M106" s="314"/>
      <c r="N106" s="314"/>
      <c r="O106" s="120">
        <f t="shared" si="14"/>
        <v>0</v>
      </c>
      <c r="P106" s="315"/>
      <c r="Q106" s="120">
        <f t="shared" si="15"/>
        <v>0</v>
      </c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</row>
    <row r="107" spans="1:64" x14ac:dyDescent="0.25">
      <c r="A107" s="121">
        <v>6.4</v>
      </c>
      <c r="B107" s="314"/>
      <c r="C107" s="314"/>
      <c r="D107" s="314"/>
      <c r="E107" s="314"/>
      <c r="F107" s="314"/>
      <c r="G107" s="314"/>
      <c r="H107" s="314"/>
      <c r="I107" s="314"/>
      <c r="J107" s="314"/>
      <c r="K107" s="314"/>
      <c r="L107" s="314"/>
      <c r="M107" s="314"/>
      <c r="N107" s="314"/>
      <c r="O107" s="120">
        <f t="shared" si="14"/>
        <v>0</v>
      </c>
      <c r="P107" s="315"/>
      <c r="Q107" s="120">
        <f t="shared" si="15"/>
        <v>0</v>
      </c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</row>
    <row r="108" spans="1:64" x14ac:dyDescent="0.25">
      <c r="A108" s="121">
        <v>6.8</v>
      </c>
      <c r="B108" s="314"/>
      <c r="C108" s="314"/>
      <c r="D108" s="314"/>
      <c r="E108" s="314"/>
      <c r="F108" s="314"/>
      <c r="G108" s="314"/>
      <c r="H108" s="314"/>
      <c r="I108" s="314"/>
      <c r="J108" s="314"/>
      <c r="K108" s="314"/>
      <c r="L108" s="314"/>
      <c r="M108" s="314"/>
      <c r="N108" s="314"/>
      <c r="O108" s="120">
        <f t="shared" si="14"/>
        <v>0</v>
      </c>
      <c r="P108" s="315"/>
      <c r="Q108" s="120">
        <f t="shared" si="15"/>
        <v>0</v>
      </c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</row>
    <row r="109" spans="1:64" x14ac:dyDescent="0.25">
      <c r="A109" s="121">
        <v>7.2</v>
      </c>
      <c r="B109" s="314"/>
      <c r="C109" s="314"/>
      <c r="D109" s="314"/>
      <c r="E109" s="314"/>
      <c r="F109" s="314"/>
      <c r="G109" s="314"/>
      <c r="H109" s="314"/>
      <c r="I109" s="314"/>
      <c r="J109" s="314"/>
      <c r="K109" s="314"/>
      <c r="L109" s="314"/>
      <c r="M109" s="314"/>
      <c r="N109" s="314"/>
      <c r="O109" s="120">
        <f>SUM(B109:N109)</f>
        <v>0</v>
      </c>
      <c r="P109" s="315"/>
      <c r="Q109" s="120">
        <f>O109-P109</f>
        <v>0</v>
      </c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</row>
    <row r="110" spans="1:64" x14ac:dyDescent="0.25">
      <c r="A110" s="121">
        <v>7.6</v>
      </c>
      <c r="B110" s="314"/>
      <c r="C110" s="314"/>
      <c r="D110" s="314"/>
      <c r="E110" s="314"/>
      <c r="F110" s="314"/>
      <c r="G110" s="314"/>
      <c r="H110" s="314"/>
      <c r="I110" s="314"/>
      <c r="J110" s="314"/>
      <c r="K110" s="314"/>
      <c r="L110" s="314"/>
      <c r="M110" s="314"/>
      <c r="N110" s="314"/>
      <c r="O110" s="120">
        <f>SUM(B110:N110)</f>
        <v>0</v>
      </c>
      <c r="P110" s="315"/>
      <c r="Q110" s="120">
        <f>O110-P110</f>
        <v>0</v>
      </c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</row>
    <row r="111" spans="1:64" x14ac:dyDescent="0.25">
      <c r="A111" s="121">
        <v>8</v>
      </c>
      <c r="B111" s="314"/>
      <c r="C111" s="314"/>
      <c r="D111" s="314"/>
      <c r="E111" s="314"/>
      <c r="F111" s="314"/>
      <c r="G111" s="314"/>
      <c r="H111" s="314"/>
      <c r="I111" s="314"/>
      <c r="J111" s="314"/>
      <c r="K111" s="314"/>
      <c r="L111" s="314"/>
      <c r="M111" s="314"/>
      <c r="N111" s="314"/>
      <c r="O111" s="120">
        <f>SUM(B111:N111)</f>
        <v>0</v>
      </c>
      <c r="P111" s="315"/>
      <c r="Q111" s="120">
        <f>O111-P111</f>
        <v>0</v>
      </c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</row>
    <row r="112" spans="1:64" x14ac:dyDescent="0.25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</row>
    <row r="113" spans="1:64" x14ac:dyDescent="0.25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</row>
    <row r="114" spans="1:64" ht="13" x14ac:dyDescent="0.3">
      <c r="A114" s="656" t="s">
        <v>526</v>
      </c>
      <c r="B114" s="460"/>
      <c r="C114" s="460"/>
      <c r="D114" s="460"/>
      <c r="E114" s="460"/>
      <c r="F114" s="460"/>
      <c r="G114" s="460"/>
      <c r="H114" s="460"/>
      <c r="I114" s="460"/>
      <c r="J114" s="460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</row>
    <row r="115" spans="1:64" x14ac:dyDescent="0.25">
      <c r="B115" s="109" t="s">
        <v>252</v>
      </c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</row>
    <row r="116" spans="1:64" x14ac:dyDescent="0.25">
      <c r="A116" s="109"/>
      <c r="B116" s="310"/>
      <c r="C116" s="310"/>
      <c r="D116" s="310"/>
      <c r="E116" s="310"/>
      <c r="F116" s="310"/>
      <c r="G116" s="310"/>
      <c r="H116" s="310"/>
      <c r="I116" s="310"/>
      <c r="J116" s="310"/>
      <c r="K116" s="310"/>
      <c r="L116" s="310"/>
      <c r="M116" s="310"/>
      <c r="N116" s="310"/>
      <c r="O116" s="310"/>
      <c r="P116" s="310"/>
      <c r="Q116" s="349" t="s">
        <v>253</v>
      </c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</row>
    <row r="117" spans="1:64" x14ac:dyDescent="0.25">
      <c r="A117" s="662" t="s">
        <v>158</v>
      </c>
      <c r="B117" s="661"/>
      <c r="C117" s="661"/>
      <c r="D117" s="661"/>
      <c r="E117" s="661"/>
      <c r="F117" s="661"/>
      <c r="G117" s="661"/>
      <c r="H117" s="661"/>
      <c r="I117" s="661"/>
      <c r="J117" s="661"/>
      <c r="K117" s="661"/>
      <c r="L117" s="661"/>
      <c r="M117" s="661"/>
      <c r="N117" s="661"/>
      <c r="O117" s="661"/>
      <c r="P117" s="661"/>
      <c r="Q117" s="367">
        <f>SUM(B117:P117)</f>
        <v>0</v>
      </c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</row>
    <row r="118" spans="1:64" x14ac:dyDescent="0.25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</row>
    <row r="119" spans="1:64" x14ac:dyDescent="0.25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</row>
    <row r="120" spans="1:64" x14ac:dyDescent="0.25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</row>
    <row r="121" spans="1:64" x14ac:dyDescent="0.25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</row>
    <row r="122" spans="1:64" x14ac:dyDescent="0.25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</row>
    <row r="123" spans="1:64" x14ac:dyDescent="0.25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</row>
    <row r="124" spans="1:64" x14ac:dyDescent="0.25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</row>
    <row r="125" spans="1:64" x14ac:dyDescent="0.25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</row>
    <row r="126" spans="1:64" x14ac:dyDescent="0.25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</row>
    <row r="127" spans="1:64" x14ac:dyDescent="0.25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</row>
    <row r="128" spans="1:64" x14ac:dyDescent="0.25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</row>
    <row r="129" spans="1:64" x14ac:dyDescent="0.25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</row>
    <row r="130" spans="1:64" x14ac:dyDescent="0.25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</row>
    <row r="131" spans="1:64" x14ac:dyDescent="0.25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</row>
    <row r="132" spans="1:64" x14ac:dyDescent="0.25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</row>
    <row r="133" spans="1:64" x14ac:dyDescent="0.25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</row>
    <row r="134" spans="1:64" x14ac:dyDescent="0.25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</row>
    <row r="135" spans="1:64" x14ac:dyDescent="0.25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</row>
    <row r="136" spans="1:64" x14ac:dyDescent="0.25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</row>
    <row r="137" spans="1:64" x14ac:dyDescent="0.25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</row>
    <row r="138" spans="1:64" x14ac:dyDescent="0.25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</row>
    <row r="139" spans="1:64" x14ac:dyDescent="0.25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</row>
    <row r="140" spans="1:64" x14ac:dyDescent="0.25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</row>
    <row r="141" spans="1:64" x14ac:dyDescent="0.25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</row>
    <row r="142" spans="1:64" x14ac:dyDescent="0.25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</row>
    <row r="143" spans="1:64" x14ac:dyDescent="0.25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</row>
    <row r="144" spans="1:64" x14ac:dyDescent="0.25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</row>
    <row r="145" spans="1:64" x14ac:dyDescent="0.25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</row>
    <row r="146" spans="1:64" x14ac:dyDescent="0.25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</row>
    <row r="147" spans="1:64" x14ac:dyDescent="0.25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</row>
    <row r="148" spans="1:64" x14ac:dyDescent="0.25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</row>
    <row r="149" spans="1:64" x14ac:dyDescent="0.25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</row>
    <row r="150" spans="1:64" x14ac:dyDescent="0.25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</row>
    <row r="151" spans="1:64" x14ac:dyDescent="0.25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</row>
    <row r="152" spans="1:64" x14ac:dyDescent="0.25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</row>
    <row r="153" spans="1:64" x14ac:dyDescent="0.25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</row>
    <row r="154" spans="1:64" x14ac:dyDescent="0.25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</row>
    <row r="155" spans="1:64" x14ac:dyDescent="0.25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</row>
    <row r="156" spans="1:64" x14ac:dyDescent="0.25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</row>
    <row r="157" spans="1:64" x14ac:dyDescent="0.25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</row>
    <row r="158" spans="1:64" x14ac:dyDescent="0.25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</row>
    <row r="159" spans="1:64" x14ac:dyDescent="0.25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</row>
    <row r="160" spans="1:64" x14ac:dyDescent="0.25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</row>
    <row r="161" spans="1:64" x14ac:dyDescent="0.25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</row>
    <row r="162" spans="1:64" x14ac:dyDescent="0.25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</row>
    <row r="163" spans="1:64" x14ac:dyDescent="0.25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</row>
    <row r="164" spans="1:64" x14ac:dyDescent="0.25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</row>
    <row r="165" spans="1:64" x14ac:dyDescent="0.25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</row>
    <row r="166" spans="1:64" x14ac:dyDescent="0.25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</row>
    <row r="167" spans="1:64" x14ac:dyDescent="0.25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</row>
    <row r="168" spans="1:64" x14ac:dyDescent="0.25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</row>
    <row r="169" spans="1:64" x14ac:dyDescent="0.25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</row>
    <row r="170" spans="1:64" x14ac:dyDescent="0.25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</row>
    <row r="171" spans="1:64" x14ac:dyDescent="0.25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</row>
    <row r="172" spans="1:64" x14ac:dyDescent="0.25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</row>
    <row r="173" spans="1:64" x14ac:dyDescent="0.25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</row>
    <row r="174" spans="1:64" x14ac:dyDescent="0.25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</row>
    <row r="175" spans="1:64" x14ac:dyDescent="0.25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</row>
    <row r="176" spans="1:64" x14ac:dyDescent="0.25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</row>
    <row r="177" spans="1:64" x14ac:dyDescent="0.25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</row>
    <row r="178" spans="1:64" x14ac:dyDescent="0.25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</row>
    <row r="179" spans="1:64" x14ac:dyDescent="0.25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</row>
    <row r="180" spans="1:64" x14ac:dyDescent="0.25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</row>
    <row r="181" spans="1:64" x14ac:dyDescent="0.25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</row>
    <row r="182" spans="1:64" x14ac:dyDescent="0.25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</row>
    <row r="183" spans="1:64" x14ac:dyDescent="0.25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</row>
    <row r="184" spans="1:64" x14ac:dyDescent="0.25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</row>
    <row r="185" spans="1:64" x14ac:dyDescent="0.25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</row>
    <row r="186" spans="1:64" x14ac:dyDescent="0.25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</row>
    <row r="187" spans="1:64" x14ac:dyDescent="0.25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</row>
    <row r="188" spans="1:64" x14ac:dyDescent="0.25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</row>
    <row r="189" spans="1:64" x14ac:dyDescent="0.25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</row>
    <row r="190" spans="1:64" x14ac:dyDescent="0.25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</row>
    <row r="191" spans="1:64" x14ac:dyDescent="0.25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</row>
    <row r="192" spans="1:64" x14ac:dyDescent="0.25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</row>
    <row r="193" spans="1:64" x14ac:dyDescent="0.25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</row>
    <row r="194" spans="1:64" x14ac:dyDescent="0.25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</row>
    <row r="195" spans="1:64" x14ac:dyDescent="0.25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</row>
    <row r="196" spans="1:64" x14ac:dyDescent="0.25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</row>
    <row r="197" spans="1:64" x14ac:dyDescent="0.25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</row>
    <row r="198" spans="1:64" x14ac:dyDescent="0.25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</row>
    <row r="199" spans="1:64" x14ac:dyDescent="0.25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</row>
    <row r="200" spans="1:64" x14ac:dyDescent="0.25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</row>
    <row r="201" spans="1:64" x14ac:dyDescent="0.25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</row>
    <row r="202" spans="1:64" x14ac:dyDescent="0.25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</row>
    <row r="203" spans="1:64" x14ac:dyDescent="0.25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</row>
    <row r="204" spans="1:64" x14ac:dyDescent="0.25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</row>
    <row r="205" spans="1:64" x14ac:dyDescent="0.25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</row>
    <row r="206" spans="1:64" x14ac:dyDescent="0.25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</row>
    <row r="207" spans="1:64" x14ac:dyDescent="0.25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</row>
    <row r="208" spans="1:64" x14ac:dyDescent="0.25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</row>
    <row r="209" spans="1:64" x14ac:dyDescent="0.25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</row>
    <row r="210" spans="1:64" x14ac:dyDescent="0.25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</row>
    <row r="211" spans="1:64" x14ac:dyDescent="0.25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</row>
    <row r="212" spans="1:64" x14ac:dyDescent="0.25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</row>
    <row r="213" spans="1:64" x14ac:dyDescent="0.25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</row>
    <row r="214" spans="1:64" x14ac:dyDescent="0.25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</row>
    <row r="215" spans="1:64" x14ac:dyDescent="0.25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</row>
    <row r="216" spans="1:64" x14ac:dyDescent="0.25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</row>
    <row r="217" spans="1:64" x14ac:dyDescent="0.25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</row>
    <row r="218" spans="1:64" x14ac:dyDescent="0.25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</row>
    <row r="219" spans="1:64" x14ac:dyDescent="0.25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</row>
    <row r="220" spans="1:64" x14ac:dyDescent="0.25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</row>
    <row r="221" spans="1:64" x14ac:dyDescent="0.25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</row>
    <row r="222" spans="1:64" x14ac:dyDescent="0.25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</row>
    <row r="223" spans="1:64" x14ac:dyDescent="0.25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</row>
    <row r="224" spans="1:64" x14ac:dyDescent="0.25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</row>
    <row r="225" spans="1:64" x14ac:dyDescent="0.25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</row>
    <row r="226" spans="1:64" x14ac:dyDescent="0.25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</row>
    <row r="227" spans="1:64" x14ac:dyDescent="0.25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</row>
    <row r="228" spans="1:64" x14ac:dyDescent="0.25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</row>
    <row r="229" spans="1:64" x14ac:dyDescent="0.25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</row>
    <row r="230" spans="1:64" x14ac:dyDescent="0.25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</row>
    <row r="231" spans="1:64" x14ac:dyDescent="0.25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</row>
    <row r="232" spans="1:64" x14ac:dyDescent="0.25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</row>
    <row r="233" spans="1:64" x14ac:dyDescent="0.25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</row>
    <row r="234" spans="1:64" x14ac:dyDescent="0.25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</row>
    <row r="235" spans="1:64" x14ac:dyDescent="0.25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</row>
    <row r="236" spans="1:64" x14ac:dyDescent="0.25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</row>
    <row r="237" spans="1:64" x14ac:dyDescent="0.25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</row>
    <row r="238" spans="1:64" x14ac:dyDescent="0.25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</row>
    <row r="239" spans="1:64" x14ac:dyDescent="0.25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</row>
    <row r="240" spans="1:64" x14ac:dyDescent="0.25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</row>
    <row r="241" spans="1:64" x14ac:dyDescent="0.25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</row>
    <row r="242" spans="1:64" x14ac:dyDescent="0.25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</row>
    <row r="243" spans="1:64" x14ac:dyDescent="0.25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</row>
    <row r="244" spans="1:64" x14ac:dyDescent="0.25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</row>
    <row r="245" spans="1:64" x14ac:dyDescent="0.25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</row>
    <row r="246" spans="1:64" x14ac:dyDescent="0.25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</row>
    <row r="247" spans="1:64" x14ac:dyDescent="0.25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</row>
    <row r="248" spans="1:64" x14ac:dyDescent="0.25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</row>
    <row r="249" spans="1:64" x14ac:dyDescent="0.25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</row>
    <row r="250" spans="1:64" x14ac:dyDescent="0.25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</row>
    <row r="251" spans="1:64" x14ac:dyDescent="0.25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</row>
    <row r="252" spans="1:64" x14ac:dyDescent="0.25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</row>
    <row r="253" spans="1:64" x14ac:dyDescent="0.25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</row>
    <row r="254" spans="1:64" x14ac:dyDescent="0.25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</row>
    <row r="255" spans="1:64" x14ac:dyDescent="0.25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</row>
    <row r="256" spans="1:64" x14ac:dyDescent="0.25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</row>
    <row r="257" spans="1:64" x14ac:dyDescent="0.25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</row>
    <row r="258" spans="1:64" x14ac:dyDescent="0.25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</row>
    <row r="259" spans="1:64" x14ac:dyDescent="0.25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</row>
    <row r="260" spans="1:64" x14ac:dyDescent="0.25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</row>
    <row r="261" spans="1:64" x14ac:dyDescent="0.25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</row>
    <row r="262" spans="1:64" x14ac:dyDescent="0.25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</row>
    <row r="263" spans="1:64" x14ac:dyDescent="0.25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</row>
    <row r="264" spans="1:64" x14ac:dyDescent="0.25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</row>
    <row r="265" spans="1:64" x14ac:dyDescent="0.25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</row>
    <row r="266" spans="1:64" x14ac:dyDescent="0.25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</row>
    <row r="267" spans="1:64" x14ac:dyDescent="0.25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</row>
    <row r="268" spans="1:64" x14ac:dyDescent="0.25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</row>
    <row r="269" spans="1:64" x14ac:dyDescent="0.25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</row>
    <row r="270" spans="1:64" x14ac:dyDescent="0.25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</row>
    <row r="271" spans="1:64" x14ac:dyDescent="0.25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</row>
    <row r="272" spans="1:64" x14ac:dyDescent="0.25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</row>
    <row r="273" spans="1:64" x14ac:dyDescent="0.25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</row>
    <row r="274" spans="1:64" x14ac:dyDescent="0.25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</row>
    <row r="275" spans="1:64" x14ac:dyDescent="0.25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</row>
    <row r="276" spans="1:64" x14ac:dyDescent="0.25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</row>
    <row r="277" spans="1:64" x14ac:dyDescent="0.25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</row>
    <row r="278" spans="1:64" x14ac:dyDescent="0.25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</row>
    <row r="279" spans="1:64" x14ac:dyDescent="0.25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</row>
    <row r="280" spans="1:64" x14ac:dyDescent="0.25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</row>
    <row r="281" spans="1:64" x14ac:dyDescent="0.25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</row>
    <row r="282" spans="1:64" x14ac:dyDescent="0.25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</row>
    <row r="283" spans="1:64" x14ac:dyDescent="0.25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</row>
    <row r="284" spans="1:64" x14ac:dyDescent="0.25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</row>
    <row r="285" spans="1:64" x14ac:dyDescent="0.25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</row>
    <row r="286" spans="1:64" x14ac:dyDescent="0.25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</row>
    <row r="287" spans="1:64" x14ac:dyDescent="0.25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</row>
    <row r="288" spans="1:64" x14ac:dyDescent="0.25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</row>
    <row r="289" spans="1:64" x14ac:dyDescent="0.25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</row>
    <row r="290" spans="1:64" x14ac:dyDescent="0.25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</row>
    <row r="291" spans="1:64" x14ac:dyDescent="0.25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</row>
    <row r="292" spans="1:64" x14ac:dyDescent="0.25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</row>
    <row r="293" spans="1:64" x14ac:dyDescent="0.25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</row>
    <row r="294" spans="1:64" x14ac:dyDescent="0.25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</row>
    <row r="295" spans="1:64" x14ac:dyDescent="0.25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</row>
    <row r="296" spans="1:64" x14ac:dyDescent="0.25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</row>
    <row r="297" spans="1:64" x14ac:dyDescent="0.25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</row>
    <row r="298" spans="1:64" x14ac:dyDescent="0.25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</row>
    <row r="299" spans="1:64" x14ac:dyDescent="0.25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</row>
    <row r="300" spans="1:64" x14ac:dyDescent="0.25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</row>
    <row r="301" spans="1:64" x14ac:dyDescent="0.25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</row>
    <row r="302" spans="1:64" x14ac:dyDescent="0.25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</row>
    <row r="303" spans="1:64" x14ac:dyDescent="0.25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</row>
    <row r="304" spans="1:64" x14ac:dyDescent="0.25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</row>
    <row r="305" spans="1:64" x14ac:dyDescent="0.25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</row>
    <row r="306" spans="1:64" x14ac:dyDescent="0.25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</row>
    <row r="307" spans="1:64" x14ac:dyDescent="0.25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</row>
    <row r="308" spans="1:64" x14ac:dyDescent="0.25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</row>
    <row r="309" spans="1:64" x14ac:dyDescent="0.25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</row>
    <row r="310" spans="1:64" x14ac:dyDescent="0.25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</row>
    <row r="311" spans="1:64" x14ac:dyDescent="0.25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</row>
    <row r="312" spans="1:64" x14ac:dyDescent="0.25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</row>
    <row r="313" spans="1:64" x14ac:dyDescent="0.25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</row>
    <row r="314" spans="1:64" x14ac:dyDescent="0.25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</row>
    <row r="315" spans="1:64" x14ac:dyDescent="0.25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</row>
    <row r="316" spans="1:64" x14ac:dyDescent="0.25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</row>
    <row r="317" spans="1:64" x14ac:dyDescent="0.25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</row>
    <row r="318" spans="1:64" x14ac:dyDescent="0.25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</row>
    <row r="319" spans="1:64" x14ac:dyDescent="0.25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</row>
    <row r="320" spans="1:64" x14ac:dyDescent="0.25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</row>
    <row r="321" spans="1:64" x14ac:dyDescent="0.25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</row>
    <row r="322" spans="1:64" x14ac:dyDescent="0.25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</row>
    <row r="323" spans="1:64" x14ac:dyDescent="0.25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</row>
    <row r="324" spans="1:64" x14ac:dyDescent="0.25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</row>
    <row r="325" spans="1:64" x14ac:dyDescent="0.25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</row>
    <row r="326" spans="1:64" x14ac:dyDescent="0.25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</row>
    <row r="327" spans="1:64" x14ac:dyDescent="0.25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</row>
    <row r="328" spans="1:64" x14ac:dyDescent="0.25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</row>
    <row r="329" spans="1:64" x14ac:dyDescent="0.25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</row>
    <row r="330" spans="1:64" x14ac:dyDescent="0.25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</row>
    <row r="331" spans="1:64" x14ac:dyDescent="0.25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</row>
    <row r="332" spans="1:64" x14ac:dyDescent="0.25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</row>
    <row r="333" spans="1:64" x14ac:dyDescent="0.25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</row>
    <row r="334" spans="1:64" x14ac:dyDescent="0.25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</row>
    <row r="335" spans="1:64" x14ac:dyDescent="0.25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</row>
    <row r="336" spans="1:64" x14ac:dyDescent="0.25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</row>
    <row r="337" spans="1:64" x14ac:dyDescent="0.25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</row>
    <row r="338" spans="1:64" x14ac:dyDescent="0.25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</row>
    <row r="339" spans="1:64" x14ac:dyDescent="0.25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</row>
    <row r="340" spans="1:64" x14ac:dyDescent="0.25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</row>
    <row r="341" spans="1:64" x14ac:dyDescent="0.25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</row>
    <row r="342" spans="1:64" x14ac:dyDescent="0.25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</row>
    <row r="343" spans="1:64" x14ac:dyDescent="0.25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</row>
    <row r="344" spans="1:64" x14ac:dyDescent="0.25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</row>
    <row r="345" spans="1:64" x14ac:dyDescent="0.25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</row>
    <row r="346" spans="1:64" x14ac:dyDescent="0.25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</row>
    <row r="347" spans="1:64" x14ac:dyDescent="0.25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</row>
    <row r="348" spans="1:64" x14ac:dyDescent="0.25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</row>
    <row r="349" spans="1:64" x14ac:dyDescent="0.25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</row>
    <row r="350" spans="1:64" x14ac:dyDescent="0.25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</row>
    <row r="351" spans="1:64" x14ac:dyDescent="0.25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</row>
    <row r="352" spans="1:64" x14ac:dyDescent="0.25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</row>
    <row r="353" spans="1:64" x14ac:dyDescent="0.25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</row>
    <row r="354" spans="1:64" x14ac:dyDescent="0.25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</row>
    <row r="355" spans="1:64" x14ac:dyDescent="0.25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</row>
    <row r="356" spans="1:64" x14ac:dyDescent="0.25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</row>
    <row r="357" spans="1:64" x14ac:dyDescent="0.25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</row>
    <row r="358" spans="1:64" x14ac:dyDescent="0.25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</row>
    <row r="359" spans="1:64" x14ac:dyDescent="0.25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</row>
    <row r="360" spans="1:64" x14ac:dyDescent="0.25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</row>
    <row r="361" spans="1:64" x14ac:dyDescent="0.25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</row>
    <row r="362" spans="1:64" x14ac:dyDescent="0.25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</row>
    <row r="363" spans="1:64" x14ac:dyDescent="0.25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</row>
    <row r="364" spans="1:64" x14ac:dyDescent="0.25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</row>
    <row r="365" spans="1:64" x14ac:dyDescent="0.25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</row>
    <row r="366" spans="1:64" x14ac:dyDescent="0.25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</row>
    <row r="367" spans="1:64" x14ac:dyDescent="0.25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</row>
    <row r="368" spans="1:64" x14ac:dyDescent="0.25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</row>
    <row r="369" spans="1:64" x14ac:dyDescent="0.25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</row>
    <row r="370" spans="1:64" x14ac:dyDescent="0.25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</row>
    <row r="371" spans="1:64" x14ac:dyDescent="0.25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</row>
    <row r="372" spans="1:64" x14ac:dyDescent="0.25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</row>
    <row r="373" spans="1:64" x14ac:dyDescent="0.25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</row>
    <row r="374" spans="1:64" x14ac:dyDescent="0.25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</row>
    <row r="375" spans="1:64" x14ac:dyDescent="0.25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</row>
    <row r="376" spans="1:64" x14ac:dyDescent="0.25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</row>
    <row r="377" spans="1:64" x14ac:dyDescent="0.25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</row>
    <row r="378" spans="1:64" x14ac:dyDescent="0.25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</row>
    <row r="379" spans="1:64" x14ac:dyDescent="0.25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</row>
    <row r="380" spans="1:64" x14ac:dyDescent="0.25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</row>
    <row r="381" spans="1:64" x14ac:dyDescent="0.25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</row>
    <row r="382" spans="1:64" x14ac:dyDescent="0.25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</row>
    <row r="383" spans="1:64" x14ac:dyDescent="0.25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</row>
    <row r="384" spans="1:64" x14ac:dyDescent="0.25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</row>
    <row r="385" spans="1:64" x14ac:dyDescent="0.25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</row>
    <row r="386" spans="1:64" x14ac:dyDescent="0.25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</row>
    <row r="387" spans="1:64" x14ac:dyDescent="0.25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</row>
    <row r="388" spans="1:64" x14ac:dyDescent="0.25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</row>
    <row r="389" spans="1:64" x14ac:dyDescent="0.25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</row>
    <row r="390" spans="1:64" x14ac:dyDescent="0.25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</row>
    <row r="391" spans="1:64" x14ac:dyDescent="0.25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</row>
    <row r="392" spans="1:64" x14ac:dyDescent="0.25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</row>
    <row r="393" spans="1:64" x14ac:dyDescent="0.25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</row>
    <row r="394" spans="1:64" x14ac:dyDescent="0.25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</row>
    <row r="395" spans="1:64" x14ac:dyDescent="0.25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</row>
    <row r="396" spans="1:64" x14ac:dyDescent="0.25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</row>
    <row r="397" spans="1:64" x14ac:dyDescent="0.25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</row>
    <row r="398" spans="1:64" x14ac:dyDescent="0.25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</row>
    <row r="399" spans="1:64" x14ac:dyDescent="0.25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</row>
    <row r="400" spans="1:64" x14ac:dyDescent="0.25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</row>
    <row r="401" spans="1:64" x14ac:dyDescent="0.25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</row>
    <row r="402" spans="1:64" x14ac:dyDescent="0.25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</row>
    <row r="403" spans="1:64" x14ac:dyDescent="0.25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</row>
    <row r="404" spans="1:64" x14ac:dyDescent="0.25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</row>
    <row r="405" spans="1:64" x14ac:dyDescent="0.25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</row>
    <row r="406" spans="1:64" x14ac:dyDescent="0.25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</row>
    <row r="407" spans="1:64" x14ac:dyDescent="0.25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</row>
    <row r="408" spans="1:64" x14ac:dyDescent="0.25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</row>
    <row r="409" spans="1:64" x14ac:dyDescent="0.25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</row>
    <row r="410" spans="1:64" x14ac:dyDescent="0.25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</row>
    <row r="411" spans="1:64" x14ac:dyDescent="0.25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</row>
    <row r="412" spans="1:64" x14ac:dyDescent="0.25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</row>
    <row r="413" spans="1:64" x14ac:dyDescent="0.25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</row>
    <row r="414" spans="1:64" x14ac:dyDescent="0.25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</row>
    <row r="415" spans="1:64" x14ac:dyDescent="0.25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</row>
    <row r="416" spans="1:64" x14ac:dyDescent="0.25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</row>
    <row r="417" spans="1:64" x14ac:dyDescent="0.25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</row>
    <row r="418" spans="1:64" x14ac:dyDescent="0.25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</row>
    <row r="419" spans="1:64" x14ac:dyDescent="0.25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</row>
    <row r="420" spans="1:64" x14ac:dyDescent="0.25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</row>
    <row r="421" spans="1:64" x14ac:dyDescent="0.25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</row>
    <row r="422" spans="1:64" x14ac:dyDescent="0.25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</row>
    <row r="423" spans="1:64" x14ac:dyDescent="0.25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</row>
    <row r="424" spans="1:64" x14ac:dyDescent="0.25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</row>
    <row r="425" spans="1:64" x14ac:dyDescent="0.25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</row>
    <row r="426" spans="1:64" x14ac:dyDescent="0.25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</row>
    <row r="427" spans="1:64" x14ac:dyDescent="0.25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</row>
    <row r="428" spans="1:64" x14ac:dyDescent="0.25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</row>
    <row r="429" spans="1:64" x14ac:dyDescent="0.25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</row>
    <row r="430" spans="1:64" x14ac:dyDescent="0.25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</row>
    <row r="431" spans="1:64" x14ac:dyDescent="0.25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</row>
    <row r="432" spans="1:64" x14ac:dyDescent="0.25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</row>
    <row r="433" spans="1:64" x14ac:dyDescent="0.25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</row>
    <row r="434" spans="1:64" x14ac:dyDescent="0.25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</row>
    <row r="435" spans="1:64" x14ac:dyDescent="0.25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</row>
    <row r="436" spans="1:64" x14ac:dyDescent="0.25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</row>
    <row r="437" spans="1:64" x14ac:dyDescent="0.25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</row>
    <row r="438" spans="1:64" x14ac:dyDescent="0.25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</row>
    <row r="439" spans="1:64" x14ac:dyDescent="0.25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</row>
    <row r="440" spans="1:64" x14ac:dyDescent="0.25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</row>
    <row r="441" spans="1:64" x14ac:dyDescent="0.25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</row>
    <row r="442" spans="1:64" x14ac:dyDescent="0.25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</row>
    <row r="443" spans="1:64" x14ac:dyDescent="0.25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</row>
    <row r="444" spans="1:64" x14ac:dyDescent="0.25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</row>
    <row r="445" spans="1:64" x14ac:dyDescent="0.25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</row>
    <row r="446" spans="1:64" x14ac:dyDescent="0.25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</row>
    <row r="447" spans="1:64" x14ac:dyDescent="0.25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</row>
    <row r="448" spans="1:64" x14ac:dyDescent="0.25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</row>
    <row r="449" spans="1:64" x14ac:dyDescent="0.25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</row>
    <row r="450" spans="1:64" x14ac:dyDescent="0.25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</row>
    <row r="451" spans="1:64" x14ac:dyDescent="0.25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</row>
    <row r="452" spans="1:64" x14ac:dyDescent="0.25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</row>
    <row r="453" spans="1:64" x14ac:dyDescent="0.25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</row>
    <row r="454" spans="1:64" x14ac:dyDescent="0.25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</row>
    <row r="455" spans="1:64" x14ac:dyDescent="0.25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</row>
    <row r="456" spans="1:64" x14ac:dyDescent="0.25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</row>
    <row r="457" spans="1:64" x14ac:dyDescent="0.25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</row>
    <row r="458" spans="1:64" x14ac:dyDescent="0.25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</row>
    <row r="459" spans="1:64" x14ac:dyDescent="0.25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</row>
    <row r="460" spans="1:64" x14ac:dyDescent="0.25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</row>
    <row r="461" spans="1:64" x14ac:dyDescent="0.25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</row>
    <row r="462" spans="1:64" x14ac:dyDescent="0.25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</row>
    <row r="463" spans="1:64" x14ac:dyDescent="0.25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</row>
    <row r="464" spans="1:64" x14ac:dyDescent="0.25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</row>
    <row r="465" spans="1:64" x14ac:dyDescent="0.25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</row>
    <row r="466" spans="1:64" x14ac:dyDescent="0.25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</row>
    <row r="467" spans="1:64" x14ac:dyDescent="0.25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</row>
    <row r="468" spans="1:64" x14ac:dyDescent="0.25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</row>
    <row r="469" spans="1:64" x14ac:dyDescent="0.25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</row>
    <row r="470" spans="1:64" x14ac:dyDescent="0.25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</row>
    <row r="471" spans="1:64" x14ac:dyDescent="0.25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</row>
    <row r="472" spans="1:64" x14ac:dyDescent="0.25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</row>
    <row r="473" spans="1:64" x14ac:dyDescent="0.25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</row>
    <row r="474" spans="1:64" x14ac:dyDescent="0.25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</row>
    <row r="475" spans="1:64" x14ac:dyDescent="0.25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</row>
    <row r="476" spans="1:64" x14ac:dyDescent="0.25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</row>
    <row r="477" spans="1:64" x14ac:dyDescent="0.25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</row>
    <row r="478" spans="1:64" x14ac:dyDescent="0.25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</row>
    <row r="479" spans="1:64" x14ac:dyDescent="0.25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</row>
    <row r="480" spans="1:64" x14ac:dyDescent="0.25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</row>
    <row r="481" spans="1:64" x14ac:dyDescent="0.25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</row>
    <row r="482" spans="1:64" x14ac:dyDescent="0.25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</row>
    <row r="483" spans="1:64" x14ac:dyDescent="0.25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</row>
    <row r="484" spans="1:64" x14ac:dyDescent="0.25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</row>
    <row r="485" spans="1:64" x14ac:dyDescent="0.25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</row>
    <row r="486" spans="1:64" x14ac:dyDescent="0.25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</row>
    <row r="487" spans="1:64" x14ac:dyDescent="0.25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</row>
    <row r="488" spans="1:64" x14ac:dyDescent="0.25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</row>
    <row r="489" spans="1:64" x14ac:dyDescent="0.25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</row>
    <row r="490" spans="1:64" x14ac:dyDescent="0.25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</row>
    <row r="491" spans="1:64" x14ac:dyDescent="0.25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</row>
    <row r="492" spans="1:64" x14ac:dyDescent="0.25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</row>
    <row r="493" spans="1:64" x14ac:dyDescent="0.25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</row>
    <row r="494" spans="1:64" x14ac:dyDescent="0.25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</row>
    <row r="495" spans="1:64" x14ac:dyDescent="0.25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</row>
    <row r="496" spans="1:64" x14ac:dyDescent="0.25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</row>
    <row r="497" spans="1:64" x14ac:dyDescent="0.25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</row>
    <row r="498" spans="1:64" x14ac:dyDescent="0.25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</row>
    <row r="499" spans="1:64" x14ac:dyDescent="0.25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</row>
    <row r="500" spans="1:64" x14ac:dyDescent="0.25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</row>
    <row r="501" spans="1:64" x14ac:dyDescent="0.25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</row>
    <row r="502" spans="1:64" x14ac:dyDescent="0.25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</row>
    <row r="503" spans="1:64" x14ac:dyDescent="0.25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</row>
    <row r="504" spans="1:64" x14ac:dyDescent="0.25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</row>
    <row r="505" spans="1:64" x14ac:dyDescent="0.25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</row>
    <row r="506" spans="1:64" x14ac:dyDescent="0.25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</row>
    <row r="507" spans="1:64" x14ac:dyDescent="0.25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</row>
    <row r="508" spans="1:64" x14ac:dyDescent="0.25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</row>
    <row r="509" spans="1:64" x14ac:dyDescent="0.25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</row>
    <row r="510" spans="1:64" x14ac:dyDescent="0.25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</row>
    <row r="511" spans="1:64" x14ac:dyDescent="0.25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</row>
    <row r="512" spans="1:64" x14ac:dyDescent="0.25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</row>
    <row r="513" spans="1:64" x14ac:dyDescent="0.25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</row>
    <row r="514" spans="1:64" x14ac:dyDescent="0.25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</row>
    <row r="515" spans="1:64" x14ac:dyDescent="0.25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</row>
    <row r="516" spans="1:64" x14ac:dyDescent="0.25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</row>
    <row r="517" spans="1:64" x14ac:dyDescent="0.25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</row>
    <row r="518" spans="1:64" x14ac:dyDescent="0.25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</row>
    <row r="519" spans="1:64" x14ac:dyDescent="0.25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</row>
    <row r="520" spans="1:64" x14ac:dyDescent="0.25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</row>
    <row r="521" spans="1:64" x14ac:dyDescent="0.25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</row>
    <row r="522" spans="1:64" x14ac:dyDescent="0.25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</row>
    <row r="523" spans="1:64" x14ac:dyDescent="0.25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</row>
    <row r="524" spans="1:64" x14ac:dyDescent="0.25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</row>
    <row r="525" spans="1:64" x14ac:dyDescent="0.25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</row>
    <row r="526" spans="1:64" x14ac:dyDescent="0.25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</row>
    <row r="527" spans="1:64" x14ac:dyDescent="0.25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</row>
    <row r="528" spans="1:64" x14ac:dyDescent="0.25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</row>
    <row r="529" spans="1:64" x14ac:dyDescent="0.25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</row>
    <row r="530" spans="1:64" x14ac:dyDescent="0.25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</row>
    <row r="531" spans="1:64" x14ac:dyDescent="0.25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</row>
    <row r="532" spans="1:64" x14ac:dyDescent="0.25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</row>
    <row r="533" spans="1:64" x14ac:dyDescent="0.25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</row>
    <row r="534" spans="1:64" x14ac:dyDescent="0.25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</row>
    <row r="535" spans="1:64" x14ac:dyDescent="0.25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</row>
    <row r="536" spans="1:64" x14ac:dyDescent="0.25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</row>
    <row r="537" spans="1:64" x14ac:dyDescent="0.25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</row>
    <row r="538" spans="1:64" x14ac:dyDescent="0.25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</row>
    <row r="539" spans="1:64" x14ac:dyDescent="0.25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</row>
    <row r="540" spans="1:64" x14ac:dyDescent="0.25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</row>
    <row r="541" spans="1:64" x14ac:dyDescent="0.25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</row>
    <row r="542" spans="1:64" x14ac:dyDescent="0.25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</row>
    <row r="543" spans="1:64" x14ac:dyDescent="0.25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</row>
    <row r="544" spans="1:64" x14ac:dyDescent="0.25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</row>
    <row r="545" spans="1:64" x14ac:dyDescent="0.25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</row>
    <row r="546" spans="1:64" x14ac:dyDescent="0.25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</row>
    <row r="547" spans="1:64" x14ac:dyDescent="0.25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</row>
    <row r="548" spans="1:64" x14ac:dyDescent="0.25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</row>
    <row r="549" spans="1:64" x14ac:dyDescent="0.25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</row>
    <row r="550" spans="1:64" x14ac:dyDescent="0.25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</row>
    <row r="551" spans="1:64" x14ac:dyDescent="0.25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</row>
    <row r="552" spans="1:64" x14ac:dyDescent="0.25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</row>
    <row r="553" spans="1:64" x14ac:dyDescent="0.25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</row>
    <row r="554" spans="1:64" x14ac:dyDescent="0.25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</row>
    <row r="555" spans="1:64" x14ac:dyDescent="0.25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</row>
    <row r="556" spans="1:64" x14ac:dyDescent="0.25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</row>
    <row r="557" spans="1:64" x14ac:dyDescent="0.25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</row>
    <row r="558" spans="1:64" x14ac:dyDescent="0.25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</row>
    <row r="559" spans="1:64" x14ac:dyDescent="0.25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</row>
    <row r="560" spans="1:64" x14ac:dyDescent="0.25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</row>
    <row r="561" spans="1:64" x14ac:dyDescent="0.25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</row>
    <row r="562" spans="1:64" x14ac:dyDescent="0.25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</row>
    <row r="563" spans="1:64" x14ac:dyDescent="0.25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</row>
    <row r="564" spans="1:64" x14ac:dyDescent="0.25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</row>
    <row r="565" spans="1:64" x14ac:dyDescent="0.25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</row>
    <row r="566" spans="1:64" x14ac:dyDescent="0.25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</row>
    <row r="567" spans="1:64" x14ac:dyDescent="0.25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</row>
    <row r="568" spans="1:64" x14ac:dyDescent="0.25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</row>
    <row r="569" spans="1:64" x14ac:dyDescent="0.25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</row>
    <row r="570" spans="1:64" x14ac:dyDescent="0.25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</row>
    <row r="571" spans="1:64" x14ac:dyDescent="0.25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</row>
    <row r="572" spans="1:64" x14ac:dyDescent="0.25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</row>
    <row r="573" spans="1:64" x14ac:dyDescent="0.25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</row>
    <row r="574" spans="1:64" x14ac:dyDescent="0.25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</row>
    <row r="575" spans="1:64" x14ac:dyDescent="0.25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</row>
    <row r="576" spans="1:64" x14ac:dyDescent="0.25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</row>
    <row r="577" spans="1:64" x14ac:dyDescent="0.25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</row>
    <row r="578" spans="1:64" x14ac:dyDescent="0.25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</row>
    <row r="579" spans="1:64" x14ac:dyDescent="0.25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</row>
    <row r="580" spans="1:64" x14ac:dyDescent="0.25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</row>
    <row r="581" spans="1:64" x14ac:dyDescent="0.25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</row>
    <row r="582" spans="1:64" x14ac:dyDescent="0.25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</row>
    <row r="583" spans="1:64" x14ac:dyDescent="0.25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</row>
    <row r="584" spans="1:64" x14ac:dyDescent="0.25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</row>
    <row r="585" spans="1:64" x14ac:dyDescent="0.25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</row>
    <row r="586" spans="1:64" x14ac:dyDescent="0.25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</row>
    <row r="587" spans="1:64" x14ac:dyDescent="0.25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</row>
    <row r="588" spans="1:64" x14ac:dyDescent="0.25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</row>
    <row r="589" spans="1:64" x14ac:dyDescent="0.25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</row>
    <row r="590" spans="1:64" x14ac:dyDescent="0.25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</row>
    <row r="591" spans="1:64" x14ac:dyDescent="0.25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</row>
    <row r="592" spans="1:64" x14ac:dyDescent="0.25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</row>
    <row r="593" spans="1:64" x14ac:dyDescent="0.25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</row>
    <row r="594" spans="1:64" x14ac:dyDescent="0.25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</row>
    <row r="595" spans="1:64" x14ac:dyDescent="0.25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</row>
    <row r="596" spans="1:64" x14ac:dyDescent="0.25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</row>
    <row r="597" spans="1:64" x14ac:dyDescent="0.25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</row>
    <row r="598" spans="1:64" x14ac:dyDescent="0.25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</row>
    <row r="599" spans="1:64" x14ac:dyDescent="0.25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</row>
    <row r="600" spans="1:64" x14ac:dyDescent="0.25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</row>
    <row r="601" spans="1:64" x14ac:dyDescent="0.25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</row>
    <row r="602" spans="1:64" x14ac:dyDescent="0.25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</row>
    <row r="603" spans="1:64" x14ac:dyDescent="0.25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</row>
    <row r="604" spans="1:64" x14ac:dyDescent="0.25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</row>
    <row r="605" spans="1:64" x14ac:dyDescent="0.25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</row>
    <row r="606" spans="1:64" x14ac:dyDescent="0.25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</row>
    <row r="607" spans="1:64" x14ac:dyDescent="0.25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</row>
    <row r="608" spans="1:64" x14ac:dyDescent="0.25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</row>
    <row r="609" spans="1:64" x14ac:dyDescent="0.25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</row>
    <row r="610" spans="1:64" x14ac:dyDescent="0.25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</row>
    <row r="611" spans="1:64" x14ac:dyDescent="0.25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</row>
    <row r="612" spans="1:64" x14ac:dyDescent="0.25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</row>
    <row r="613" spans="1:64" x14ac:dyDescent="0.25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</row>
    <row r="614" spans="1:64" x14ac:dyDescent="0.25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</row>
    <row r="615" spans="1:64" x14ac:dyDescent="0.25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</row>
    <row r="616" spans="1:64" x14ac:dyDescent="0.25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</row>
    <row r="617" spans="1:64" x14ac:dyDescent="0.25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</row>
    <row r="618" spans="1:64" x14ac:dyDescent="0.25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</row>
    <row r="619" spans="1:64" x14ac:dyDescent="0.25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</row>
    <row r="620" spans="1:64" x14ac:dyDescent="0.25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</row>
  </sheetData>
  <sheetProtection algorithmName="SHA-512" hashValue="8CtPRRNvvqMtD4GoUzI+0FSgwC89mj5kYCb4q5HYzXXL5PX+dbgvNiBHE4D9hpzz3MwF+wX4YLLz51MunXX7kA==" saltValue="ENXFkgmqBXhQhO7axeDW/g==" spinCount="100000" sheet="1"/>
  <hyperlinks>
    <hyperlink ref="N30" location="Etusivu!A1" tooltip="Tästä pääset etusivulle" display="Etusivu" xr:uid="{00000000-0004-0000-0200-000000000000}"/>
    <hyperlink ref="N58" location="Etusivu!A1" tooltip="Tästä pääset etusivulle" display="Etusivu" xr:uid="{00000000-0004-0000-0200-000001000000}"/>
    <hyperlink ref="N86" location="Etusivu!A1" tooltip="Tästä pääset etusivulle" display="Etusivu" xr:uid="{00000000-0004-0000-0200-000002000000}"/>
    <hyperlink ref="P30" location="Etusivu!A392" tooltip="Tästä pääset laittamaan olosuhde/haittalisät" display="Haittalisä" xr:uid="{00000000-0004-0000-0200-000003000000}"/>
    <hyperlink ref="P58" location="Etusivu!A392" tooltip="Tästä pääset laittamaan olosuhde/haittalisät" display="Haittalisä" xr:uid="{00000000-0004-0000-0200-000004000000}"/>
    <hyperlink ref="P86" location="Etusivu!A392" tooltip="Tästä pääset laittamaan olosuhde/haittalisät" display="Haittalisä" xr:uid="{00000000-0004-0000-0200-000005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25"/>
  <sheetViews>
    <sheetView zoomScaleNormal="100" workbookViewId="0">
      <selection activeCell="R24" sqref="R24"/>
    </sheetView>
  </sheetViews>
  <sheetFormatPr defaultColWidth="9.1796875" defaultRowHeight="12.5" x14ac:dyDescent="0.25"/>
  <cols>
    <col min="1" max="1" width="8.26953125" style="109" customWidth="1"/>
    <col min="2" max="2" width="7.26953125" style="109" customWidth="1"/>
    <col min="3" max="3" width="7.26953125" style="215" customWidth="1"/>
    <col min="4" max="4" width="7.26953125" style="109" customWidth="1"/>
    <col min="5" max="5" width="7.26953125" style="215" customWidth="1"/>
    <col min="6" max="15" width="7.26953125" style="109" customWidth="1"/>
    <col min="16" max="16" width="9.54296875" style="137" customWidth="1"/>
    <col min="17" max="17" width="7.26953125" style="109" customWidth="1"/>
    <col min="18" max="16384" width="9.1796875" style="109"/>
  </cols>
  <sheetData>
    <row r="1" spans="1:17" ht="17.25" customHeight="1" x14ac:dyDescent="0.25"/>
    <row r="2" spans="1:17" ht="18.75" customHeight="1" thickBot="1" x14ac:dyDescent="0.3">
      <c r="A2" s="135" t="s">
        <v>397</v>
      </c>
      <c r="B2" s="136"/>
      <c r="C2" s="136"/>
      <c r="D2" s="136"/>
      <c r="E2" s="136"/>
      <c r="F2" s="136"/>
      <c r="G2" s="136"/>
      <c r="H2" s="137"/>
      <c r="I2" s="302"/>
      <c r="J2" s="137"/>
      <c r="K2" s="302"/>
      <c r="L2" s="137"/>
      <c r="M2" s="137"/>
      <c r="N2" s="137"/>
      <c r="O2" s="137"/>
      <c r="Q2" s="137"/>
    </row>
    <row r="3" spans="1:17" ht="13.5" customHeight="1" x14ac:dyDescent="0.25">
      <c r="A3" s="137"/>
      <c r="B3" s="137"/>
      <c r="C3" s="216"/>
      <c r="D3" s="216"/>
      <c r="E3" s="216"/>
      <c r="F3" s="216"/>
      <c r="G3" s="216"/>
      <c r="H3" s="137"/>
      <c r="I3" s="137"/>
      <c r="J3" s="137"/>
      <c r="K3" s="137"/>
      <c r="L3" s="137"/>
      <c r="M3" s="137"/>
      <c r="N3" s="137"/>
      <c r="O3" s="137"/>
      <c r="Q3" s="137"/>
    </row>
    <row r="4" spans="1:17" ht="12.75" customHeight="1" x14ac:dyDescent="0.25">
      <c r="A4" s="137"/>
      <c r="B4" s="137" t="s">
        <v>252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Q4" s="137"/>
    </row>
    <row r="5" spans="1:17" ht="12.75" customHeight="1" x14ac:dyDescent="0.25">
      <c r="A5" s="217" t="s">
        <v>273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17" t="s">
        <v>253</v>
      </c>
      <c r="P5" s="217" t="s">
        <v>254</v>
      </c>
      <c r="Q5" s="217" t="s">
        <v>255</v>
      </c>
    </row>
    <row r="6" spans="1:17" ht="12.75" customHeight="1" x14ac:dyDescent="0.25">
      <c r="A6" s="218">
        <v>100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219">
        <f>SUM(B6:N6)</f>
        <v>0</v>
      </c>
      <c r="P6" s="317"/>
      <c r="Q6" s="219">
        <f>O6-P6</f>
        <v>0</v>
      </c>
    </row>
    <row r="7" spans="1:17" ht="12.75" customHeight="1" x14ac:dyDescent="0.25">
      <c r="A7" s="218">
        <v>125</v>
      </c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219">
        <f t="shared" ref="O7:O15" si="0">SUM(B7:N7)</f>
        <v>0</v>
      </c>
      <c r="P7" s="317"/>
      <c r="Q7" s="219">
        <f t="shared" ref="Q7:Q15" si="1">O7-P7</f>
        <v>0</v>
      </c>
    </row>
    <row r="8" spans="1:17" ht="12.75" customHeight="1" x14ac:dyDescent="0.25">
      <c r="A8" s="218">
        <v>160</v>
      </c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219">
        <f t="shared" si="0"/>
        <v>0</v>
      </c>
      <c r="P8" s="317"/>
      <c r="Q8" s="219">
        <f t="shared" si="1"/>
        <v>0</v>
      </c>
    </row>
    <row r="9" spans="1:17" ht="12.75" customHeight="1" x14ac:dyDescent="0.25">
      <c r="A9" s="218">
        <v>200</v>
      </c>
      <c r="B9" s="316"/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219">
        <f t="shared" si="0"/>
        <v>0</v>
      </c>
      <c r="P9" s="317"/>
      <c r="Q9" s="219">
        <f t="shared" si="1"/>
        <v>0</v>
      </c>
    </row>
    <row r="10" spans="1:17" ht="12.75" customHeight="1" x14ac:dyDescent="0.25">
      <c r="A10" s="218">
        <v>250</v>
      </c>
      <c r="B10" s="316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219">
        <f t="shared" si="0"/>
        <v>0</v>
      </c>
      <c r="P10" s="317"/>
      <c r="Q10" s="219">
        <f t="shared" si="1"/>
        <v>0</v>
      </c>
    </row>
    <row r="11" spans="1:17" ht="12.75" customHeight="1" x14ac:dyDescent="0.25">
      <c r="A11" s="218">
        <v>315</v>
      </c>
      <c r="B11" s="316"/>
      <c r="C11" s="316"/>
      <c r="D11" s="316"/>
      <c r="E11" s="316"/>
      <c r="F11" s="316"/>
      <c r="G11" s="316"/>
      <c r="H11" s="316"/>
      <c r="I11" s="316"/>
      <c r="J11" s="316"/>
      <c r="K11" s="316"/>
      <c r="L11" s="316"/>
      <c r="M11" s="316"/>
      <c r="N11" s="316"/>
      <c r="O11" s="219">
        <f t="shared" si="0"/>
        <v>0</v>
      </c>
      <c r="P11" s="317"/>
      <c r="Q11" s="219">
        <f t="shared" si="1"/>
        <v>0</v>
      </c>
    </row>
    <row r="12" spans="1:17" ht="12.75" customHeight="1" x14ac:dyDescent="0.25">
      <c r="A12" s="218">
        <v>400</v>
      </c>
      <c r="B12" s="316"/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219">
        <f t="shared" si="0"/>
        <v>0</v>
      </c>
      <c r="P12" s="317"/>
      <c r="Q12" s="219">
        <f t="shared" si="1"/>
        <v>0</v>
      </c>
    </row>
    <row r="13" spans="1:17" ht="12.75" customHeight="1" x14ac:dyDescent="0.25">
      <c r="A13" s="218">
        <v>500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219">
        <f t="shared" si="0"/>
        <v>0</v>
      </c>
      <c r="P13" s="317"/>
      <c r="Q13" s="219">
        <f t="shared" si="1"/>
        <v>0</v>
      </c>
    </row>
    <row r="14" spans="1:17" ht="12.75" customHeight="1" x14ac:dyDescent="0.25">
      <c r="A14" s="218">
        <v>630</v>
      </c>
      <c r="B14" s="316"/>
      <c r="C14" s="316"/>
      <c r="D14" s="316"/>
      <c r="E14" s="316"/>
      <c r="F14" s="316"/>
      <c r="G14" s="316"/>
      <c r="H14" s="316"/>
      <c r="I14" s="316"/>
      <c r="J14" s="316"/>
      <c r="K14" s="316"/>
      <c r="L14" s="316"/>
      <c r="M14" s="316"/>
      <c r="N14" s="316"/>
      <c r="O14" s="219">
        <f t="shared" si="0"/>
        <v>0</v>
      </c>
      <c r="P14" s="317"/>
      <c r="Q14" s="219">
        <f t="shared" si="1"/>
        <v>0</v>
      </c>
    </row>
    <row r="15" spans="1:17" ht="13.5" customHeight="1" x14ac:dyDescent="0.25">
      <c r="A15" s="218">
        <v>800</v>
      </c>
      <c r="B15" s="316"/>
      <c r="C15" s="316"/>
      <c r="D15" s="316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219">
        <f t="shared" si="0"/>
        <v>0</v>
      </c>
      <c r="P15" s="317"/>
      <c r="Q15" s="219">
        <f t="shared" si="1"/>
        <v>0</v>
      </c>
    </row>
    <row r="16" spans="1:17" ht="12.75" customHeight="1" x14ac:dyDescent="0.25">
      <c r="A16" s="218">
        <v>1000</v>
      </c>
      <c r="B16" s="316"/>
      <c r="C16" s="316"/>
      <c r="D16" s="316"/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219">
        <f>SUM(B16:N16)</f>
        <v>0</v>
      </c>
      <c r="P16" s="317"/>
      <c r="Q16" s="219">
        <f>O16-P16</f>
        <v>0</v>
      </c>
    </row>
    <row r="17" spans="1:17" ht="12.75" customHeight="1" x14ac:dyDescent="0.25">
      <c r="A17" s="218">
        <v>1250</v>
      </c>
      <c r="B17" s="316"/>
      <c r="C17" s="316"/>
      <c r="D17" s="316"/>
      <c r="E17" s="316"/>
      <c r="F17" s="316"/>
      <c r="G17" s="316"/>
      <c r="H17" s="316"/>
      <c r="I17" s="316"/>
      <c r="J17" s="316"/>
      <c r="K17" s="316"/>
      <c r="L17" s="316"/>
      <c r="M17" s="316"/>
      <c r="N17" s="316"/>
      <c r="O17" s="219">
        <f t="shared" ref="O17:O22" si="2">SUM(B17:N17)</f>
        <v>0</v>
      </c>
      <c r="P17" s="317"/>
      <c r="Q17" s="219">
        <f t="shared" ref="Q17:Q22" si="3">O17-P17</f>
        <v>0</v>
      </c>
    </row>
    <row r="18" spans="1:17" ht="12.75" customHeight="1" x14ac:dyDescent="0.25">
      <c r="A18" s="218">
        <v>1400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219">
        <f t="shared" si="2"/>
        <v>0</v>
      </c>
      <c r="P18" s="317"/>
      <c r="Q18" s="219">
        <f t="shared" si="3"/>
        <v>0</v>
      </c>
    </row>
    <row r="19" spans="1:17" ht="12.75" customHeight="1" x14ac:dyDescent="0.25">
      <c r="A19" s="218">
        <v>1600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219">
        <f t="shared" si="2"/>
        <v>0</v>
      </c>
      <c r="P19" s="317"/>
      <c r="Q19" s="219">
        <f t="shared" si="3"/>
        <v>0</v>
      </c>
    </row>
    <row r="20" spans="1:17" ht="12.75" customHeight="1" x14ac:dyDescent="0.25">
      <c r="A20" s="218">
        <v>1800</v>
      </c>
      <c r="B20" s="316"/>
      <c r="C20" s="316"/>
      <c r="D20" s="316"/>
      <c r="E20" s="316"/>
      <c r="F20" s="316"/>
      <c r="G20" s="316"/>
      <c r="H20" s="316"/>
      <c r="I20" s="316"/>
      <c r="J20" s="316"/>
      <c r="K20" s="316"/>
      <c r="L20" s="316"/>
      <c r="M20" s="316"/>
      <c r="N20" s="316"/>
      <c r="O20" s="219">
        <f t="shared" si="2"/>
        <v>0</v>
      </c>
      <c r="P20" s="317"/>
      <c r="Q20" s="219">
        <f t="shared" si="3"/>
        <v>0</v>
      </c>
    </row>
    <row r="21" spans="1:17" ht="12.75" customHeight="1" x14ac:dyDescent="0.25">
      <c r="A21" s="218">
        <v>2000</v>
      </c>
      <c r="B21" s="316"/>
      <c r="C21" s="316"/>
      <c r="D21" s="316"/>
      <c r="E21" s="316"/>
      <c r="F21" s="316"/>
      <c r="G21" s="316"/>
      <c r="H21" s="316"/>
      <c r="I21" s="316"/>
      <c r="J21" s="316"/>
      <c r="K21" s="316"/>
      <c r="L21" s="316"/>
      <c r="M21" s="316"/>
      <c r="N21" s="316"/>
      <c r="O21" s="219">
        <f t="shared" si="2"/>
        <v>0</v>
      </c>
      <c r="P21" s="317"/>
      <c r="Q21" s="219">
        <f t="shared" si="3"/>
        <v>0</v>
      </c>
    </row>
    <row r="22" spans="1:17" ht="12" customHeight="1" x14ac:dyDescent="0.25">
      <c r="A22" s="218">
        <v>2400</v>
      </c>
      <c r="B22" s="316"/>
      <c r="C22" s="316"/>
      <c r="D22" s="316"/>
      <c r="E22" s="316"/>
      <c r="F22" s="316"/>
      <c r="G22" s="316"/>
      <c r="H22" s="316"/>
      <c r="I22" s="316"/>
      <c r="J22" s="316"/>
      <c r="K22" s="316"/>
      <c r="L22" s="316"/>
      <c r="M22" s="316"/>
      <c r="N22" s="316"/>
      <c r="O22" s="219">
        <f t="shared" si="2"/>
        <v>0</v>
      </c>
      <c r="P22" s="317"/>
      <c r="Q22" s="219">
        <f t="shared" si="3"/>
        <v>0</v>
      </c>
    </row>
    <row r="23" spans="1:17" ht="13.5" customHeight="1" x14ac:dyDescent="0.25"/>
    <row r="24" spans="1:17" ht="12.75" customHeight="1" x14ac:dyDescent="0.25"/>
    <row r="25" spans="1:17" ht="12.75" customHeight="1" thickBot="1" x14ac:dyDescent="0.3">
      <c r="A25" s="135" t="s">
        <v>398</v>
      </c>
      <c r="B25" s="112"/>
      <c r="C25" s="220"/>
      <c r="D25" s="112"/>
      <c r="E25" s="220"/>
      <c r="F25" s="112"/>
      <c r="I25" s="301"/>
      <c r="K25" s="301"/>
      <c r="M25" s="328" t="s">
        <v>234</v>
      </c>
      <c r="O25" s="326" t="s">
        <v>299</v>
      </c>
    </row>
    <row r="26" spans="1:17" ht="12.75" customHeight="1" x14ac:dyDescent="0.25"/>
    <row r="27" spans="1:17" ht="13.5" customHeight="1" x14ac:dyDescent="0.25">
      <c r="A27" s="137"/>
      <c r="B27" s="137" t="s">
        <v>252</v>
      </c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Q27" s="137"/>
    </row>
    <row r="28" spans="1:17" ht="12.75" customHeight="1" x14ac:dyDescent="0.25">
      <c r="A28" s="217" t="s">
        <v>273</v>
      </c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17" t="s">
        <v>253</v>
      </c>
      <c r="P28" s="217" t="s">
        <v>254</v>
      </c>
      <c r="Q28" s="217" t="s">
        <v>255</v>
      </c>
    </row>
    <row r="29" spans="1:17" ht="12.75" customHeight="1" x14ac:dyDescent="0.25">
      <c r="A29" s="218">
        <v>100</v>
      </c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6"/>
      <c r="M29" s="316"/>
      <c r="N29" s="316"/>
      <c r="O29" s="219">
        <f>SUM(B29:N29)</f>
        <v>0</v>
      </c>
      <c r="P29" s="317"/>
      <c r="Q29" s="219">
        <f>O29-P29</f>
        <v>0</v>
      </c>
    </row>
    <row r="30" spans="1:17" ht="12.75" customHeight="1" x14ac:dyDescent="0.25">
      <c r="A30" s="218">
        <v>125</v>
      </c>
      <c r="B30" s="316"/>
      <c r="C30" s="316"/>
      <c r="D30" s="316"/>
      <c r="E30" s="316"/>
      <c r="F30" s="316"/>
      <c r="G30" s="316"/>
      <c r="H30" s="316"/>
      <c r="I30" s="316"/>
      <c r="J30" s="316"/>
      <c r="K30" s="316"/>
      <c r="L30" s="316"/>
      <c r="M30" s="316"/>
      <c r="N30" s="316"/>
      <c r="O30" s="219">
        <f t="shared" ref="O30:O37" si="4">SUM(B30:N30)</f>
        <v>0</v>
      </c>
      <c r="P30" s="317"/>
      <c r="Q30" s="219">
        <f t="shared" ref="Q30:Q37" si="5">O30-P30</f>
        <v>0</v>
      </c>
    </row>
    <row r="31" spans="1:17" ht="12.75" customHeight="1" x14ac:dyDescent="0.25">
      <c r="A31" s="218">
        <v>160</v>
      </c>
      <c r="B31" s="316"/>
      <c r="C31" s="316"/>
      <c r="D31" s="316"/>
      <c r="E31" s="316"/>
      <c r="F31" s="316"/>
      <c r="G31" s="316"/>
      <c r="H31" s="316"/>
      <c r="I31" s="316"/>
      <c r="J31" s="316"/>
      <c r="K31" s="316"/>
      <c r="L31" s="316"/>
      <c r="M31" s="316"/>
      <c r="N31" s="316"/>
      <c r="O31" s="219">
        <f t="shared" si="4"/>
        <v>0</v>
      </c>
      <c r="P31" s="317"/>
      <c r="Q31" s="219">
        <f t="shared" si="5"/>
        <v>0</v>
      </c>
    </row>
    <row r="32" spans="1:17" ht="12.75" customHeight="1" x14ac:dyDescent="0.25">
      <c r="A32" s="218">
        <v>200</v>
      </c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219">
        <f t="shared" si="4"/>
        <v>0</v>
      </c>
      <c r="P32" s="317"/>
      <c r="Q32" s="219">
        <f t="shared" si="5"/>
        <v>0</v>
      </c>
    </row>
    <row r="33" spans="1:17" ht="12.75" customHeight="1" x14ac:dyDescent="0.25">
      <c r="A33" s="218">
        <v>250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  <c r="O33" s="219">
        <f t="shared" si="4"/>
        <v>0</v>
      </c>
      <c r="P33" s="317"/>
      <c r="Q33" s="219">
        <f t="shared" si="5"/>
        <v>0</v>
      </c>
    </row>
    <row r="34" spans="1:17" ht="12.75" customHeight="1" x14ac:dyDescent="0.25">
      <c r="A34" s="218">
        <v>315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  <c r="O34" s="219">
        <f t="shared" si="4"/>
        <v>0</v>
      </c>
      <c r="P34" s="317"/>
      <c r="Q34" s="219">
        <f t="shared" si="5"/>
        <v>0</v>
      </c>
    </row>
    <row r="35" spans="1:17" ht="12.75" customHeight="1" x14ac:dyDescent="0.25">
      <c r="A35" s="218">
        <v>400</v>
      </c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219">
        <f t="shared" si="4"/>
        <v>0</v>
      </c>
      <c r="P35" s="317"/>
      <c r="Q35" s="219">
        <f t="shared" si="5"/>
        <v>0</v>
      </c>
    </row>
    <row r="36" spans="1:17" ht="12.75" customHeight="1" x14ac:dyDescent="0.25">
      <c r="A36" s="218">
        <v>500</v>
      </c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219">
        <f t="shared" si="4"/>
        <v>0</v>
      </c>
      <c r="P36" s="317"/>
      <c r="Q36" s="219">
        <f t="shared" si="5"/>
        <v>0</v>
      </c>
    </row>
    <row r="37" spans="1:17" ht="12.75" customHeight="1" x14ac:dyDescent="0.25">
      <c r="A37" s="218">
        <v>630</v>
      </c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219">
        <f t="shared" si="4"/>
        <v>0</v>
      </c>
      <c r="P37" s="317"/>
      <c r="Q37" s="219">
        <f t="shared" si="5"/>
        <v>0</v>
      </c>
    </row>
    <row r="38" spans="1:17" ht="12.75" customHeight="1" x14ac:dyDescent="0.25">
      <c r="C38" s="109"/>
      <c r="E38" s="109"/>
    </row>
    <row r="39" spans="1:17" ht="12.75" customHeight="1" x14ac:dyDescent="0.25">
      <c r="C39" s="109"/>
      <c r="E39" s="109"/>
    </row>
    <row r="40" spans="1:17" ht="12.75" customHeight="1" x14ac:dyDescent="0.25">
      <c r="C40" s="109"/>
      <c r="E40" s="109"/>
    </row>
    <row r="41" spans="1:17" ht="12.75" customHeight="1" x14ac:dyDescent="0.25">
      <c r="C41" s="109"/>
      <c r="E41" s="109"/>
    </row>
    <row r="42" spans="1:17" ht="12" customHeight="1" x14ac:dyDescent="0.25">
      <c r="C42" s="109"/>
      <c r="E42" s="109"/>
    </row>
    <row r="43" spans="1:17" x14ac:dyDescent="0.25">
      <c r="C43" s="109"/>
      <c r="E43" s="109"/>
    </row>
    <row r="44" spans="1:17" ht="12.75" customHeight="1" thickBot="1" x14ac:dyDescent="0.3">
      <c r="A44" s="135" t="s">
        <v>424</v>
      </c>
      <c r="B44" s="136"/>
      <c r="C44" s="136"/>
      <c r="D44" s="136"/>
      <c r="E44" s="136"/>
      <c r="F44" s="136"/>
      <c r="G44" s="137"/>
      <c r="H44" s="137"/>
      <c r="I44" s="137"/>
      <c r="J44" s="137"/>
      <c r="K44" s="137"/>
      <c r="L44" s="137"/>
      <c r="M44" s="301"/>
      <c r="N44" s="137"/>
      <c r="O44" s="301"/>
      <c r="Q44" s="137"/>
    </row>
    <row r="45" spans="1:17" ht="12.75" customHeight="1" x14ac:dyDescent="0.25">
      <c r="A45" s="137"/>
      <c r="B45" s="137"/>
      <c r="C45" s="216"/>
      <c r="D45" s="216"/>
      <c r="E45" s="216"/>
      <c r="F45" s="216"/>
      <c r="G45" s="216"/>
      <c r="H45" s="137"/>
      <c r="I45" s="137"/>
      <c r="J45" s="137"/>
      <c r="K45" s="137"/>
      <c r="L45" s="137"/>
      <c r="M45" s="137"/>
      <c r="N45" s="137"/>
      <c r="O45" s="137"/>
      <c r="Q45" s="137"/>
    </row>
    <row r="46" spans="1:17" ht="14.25" customHeight="1" x14ac:dyDescent="0.25">
      <c r="A46" s="137"/>
      <c r="B46" s="137" t="s">
        <v>252</v>
      </c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Q46" s="137"/>
    </row>
    <row r="47" spans="1:17" ht="12.75" customHeight="1" x14ac:dyDescent="0.25">
      <c r="A47" s="217" t="s">
        <v>273</v>
      </c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17" t="s">
        <v>253</v>
      </c>
      <c r="P47" s="217" t="s">
        <v>254</v>
      </c>
      <c r="Q47" s="217" t="s">
        <v>255</v>
      </c>
    </row>
    <row r="48" spans="1:17" ht="12.75" customHeight="1" x14ac:dyDescent="0.25">
      <c r="A48" s="218">
        <v>100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219">
        <f>SUM(B48:N48)</f>
        <v>0</v>
      </c>
      <c r="P48" s="317"/>
      <c r="Q48" s="219">
        <f>O48-P48</f>
        <v>0</v>
      </c>
    </row>
    <row r="49" spans="1:17" ht="12.75" customHeight="1" x14ac:dyDescent="0.25">
      <c r="A49" s="218">
        <v>125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219">
        <f t="shared" ref="O49:O57" si="6">SUM(B49:N49)</f>
        <v>0</v>
      </c>
      <c r="P49" s="317"/>
      <c r="Q49" s="219">
        <f t="shared" ref="Q49:Q57" si="7">O49-P49</f>
        <v>0</v>
      </c>
    </row>
    <row r="50" spans="1:17" ht="12.75" customHeight="1" x14ac:dyDescent="0.25">
      <c r="A50" s="218">
        <v>160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219">
        <f t="shared" si="6"/>
        <v>0</v>
      </c>
      <c r="P50" s="317"/>
      <c r="Q50" s="219">
        <f t="shared" si="7"/>
        <v>0</v>
      </c>
    </row>
    <row r="51" spans="1:17" ht="12.75" customHeight="1" x14ac:dyDescent="0.25">
      <c r="A51" s="218">
        <v>200</v>
      </c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219">
        <f t="shared" si="6"/>
        <v>0</v>
      </c>
      <c r="P51" s="317"/>
      <c r="Q51" s="219">
        <f t="shared" si="7"/>
        <v>0</v>
      </c>
    </row>
    <row r="52" spans="1:17" ht="12.75" customHeight="1" x14ac:dyDescent="0.25">
      <c r="A52" s="218">
        <v>250</v>
      </c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219">
        <f t="shared" si="6"/>
        <v>0</v>
      </c>
      <c r="P52" s="317"/>
      <c r="Q52" s="219">
        <f t="shared" si="7"/>
        <v>0</v>
      </c>
    </row>
    <row r="53" spans="1:17" ht="12.75" customHeight="1" x14ac:dyDescent="0.25">
      <c r="A53" s="218">
        <v>315</v>
      </c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219">
        <f t="shared" si="6"/>
        <v>0</v>
      </c>
      <c r="P53" s="317"/>
      <c r="Q53" s="219">
        <f t="shared" si="7"/>
        <v>0</v>
      </c>
    </row>
    <row r="54" spans="1:17" ht="12.75" customHeight="1" x14ac:dyDescent="0.25">
      <c r="A54" s="218">
        <v>400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219">
        <f t="shared" si="6"/>
        <v>0</v>
      </c>
      <c r="P54" s="317"/>
      <c r="Q54" s="219">
        <f t="shared" si="7"/>
        <v>0</v>
      </c>
    </row>
    <row r="55" spans="1:17" ht="12.75" customHeight="1" x14ac:dyDescent="0.25">
      <c r="A55" s="218">
        <v>500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219">
        <f t="shared" si="6"/>
        <v>0</v>
      </c>
      <c r="P55" s="317"/>
      <c r="Q55" s="219">
        <f t="shared" si="7"/>
        <v>0</v>
      </c>
    </row>
    <row r="56" spans="1:17" ht="12.75" customHeight="1" x14ac:dyDescent="0.25">
      <c r="A56" s="218">
        <v>630</v>
      </c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219">
        <f t="shared" si="6"/>
        <v>0</v>
      </c>
      <c r="P56" s="317"/>
      <c r="Q56" s="219">
        <f t="shared" si="7"/>
        <v>0</v>
      </c>
    </row>
    <row r="57" spans="1:17" ht="12.75" customHeight="1" x14ac:dyDescent="0.25">
      <c r="A57" s="218">
        <v>800</v>
      </c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219">
        <f t="shared" si="6"/>
        <v>0</v>
      </c>
      <c r="P57" s="317"/>
      <c r="Q57" s="219">
        <f t="shared" si="7"/>
        <v>0</v>
      </c>
    </row>
    <row r="58" spans="1:17" ht="12.75" customHeight="1" x14ac:dyDescent="0.25">
      <c r="A58" s="218">
        <v>1000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219">
        <f>SUM(B58:N58)</f>
        <v>0</v>
      </c>
      <c r="P58" s="317"/>
      <c r="Q58" s="219">
        <f>O58-P58</f>
        <v>0</v>
      </c>
    </row>
    <row r="59" spans="1:17" ht="12.75" customHeight="1" x14ac:dyDescent="0.25">
      <c r="A59" s="218">
        <v>1250</v>
      </c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219">
        <f t="shared" ref="O59:O64" si="8">SUM(B59:N59)</f>
        <v>0</v>
      </c>
      <c r="P59" s="317"/>
      <c r="Q59" s="219">
        <f t="shared" ref="Q59:Q64" si="9">O59-P59</f>
        <v>0</v>
      </c>
    </row>
    <row r="60" spans="1:17" ht="12.75" customHeight="1" x14ac:dyDescent="0.25">
      <c r="A60" s="218">
        <v>1400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219">
        <f t="shared" si="8"/>
        <v>0</v>
      </c>
      <c r="P60" s="317"/>
      <c r="Q60" s="219">
        <f t="shared" si="9"/>
        <v>0</v>
      </c>
    </row>
    <row r="61" spans="1:17" ht="12.75" customHeight="1" x14ac:dyDescent="0.25">
      <c r="A61" s="218">
        <v>1600</v>
      </c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219">
        <f t="shared" si="8"/>
        <v>0</v>
      </c>
      <c r="P61" s="317"/>
      <c r="Q61" s="219">
        <f t="shared" si="9"/>
        <v>0</v>
      </c>
    </row>
    <row r="62" spans="1:17" ht="12.75" customHeight="1" x14ac:dyDescent="0.25">
      <c r="A62" s="218">
        <v>1800</v>
      </c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219">
        <f t="shared" si="8"/>
        <v>0</v>
      </c>
      <c r="P62" s="317"/>
      <c r="Q62" s="219">
        <f t="shared" si="9"/>
        <v>0</v>
      </c>
    </row>
    <row r="63" spans="1:17" ht="12.75" customHeight="1" x14ac:dyDescent="0.25">
      <c r="A63" s="218">
        <v>2000</v>
      </c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219">
        <f t="shared" si="8"/>
        <v>0</v>
      </c>
      <c r="P63" s="317"/>
      <c r="Q63" s="219">
        <f t="shared" si="9"/>
        <v>0</v>
      </c>
    </row>
    <row r="64" spans="1:17" ht="12.75" customHeight="1" x14ac:dyDescent="0.25">
      <c r="A64" s="218">
        <v>2400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219">
        <f t="shared" si="8"/>
        <v>0</v>
      </c>
      <c r="P64" s="317"/>
      <c r="Q64" s="219">
        <f t="shared" si="9"/>
        <v>0</v>
      </c>
    </row>
    <row r="65" spans="1:17" ht="12.75" customHeight="1" x14ac:dyDescent="0.25"/>
    <row r="67" spans="1:17" ht="13" thickBot="1" x14ac:dyDescent="0.3">
      <c r="A67" s="135" t="s">
        <v>425</v>
      </c>
      <c r="B67" s="112"/>
      <c r="C67" s="220"/>
      <c r="D67" s="112"/>
      <c r="E67" s="220"/>
      <c r="M67" s="328" t="s">
        <v>234</v>
      </c>
      <c r="O67" s="326" t="s">
        <v>299</v>
      </c>
    </row>
    <row r="69" spans="1:17" x14ac:dyDescent="0.25">
      <c r="A69" s="137"/>
      <c r="B69" s="137" t="s">
        <v>252</v>
      </c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Q69" s="137"/>
    </row>
    <row r="70" spans="1:17" x14ac:dyDescent="0.25">
      <c r="A70" s="217" t="s">
        <v>273</v>
      </c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17" t="s">
        <v>253</v>
      </c>
      <c r="P70" s="217" t="s">
        <v>254</v>
      </c>
      <c r="Q70" s="217" t="s">
        <v>255</v>
      </c>
    </row>
    <row r="71" spans="1:17" x14ac:dyDescent="0.25">
      <c r="A71" s="218">
        <v>100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219">
        <f>SUM(B71:N71)</f>
        <v>0</v>
      </c>
      <c r="P71" s="317"/>
      <c r="Q71" s="219">
        <f>O71-P71</f>
        <v>0</v>
      </c>
    </row>
    <row r="72" spans="1:17" x14ac:dyDescent="0.25">
      <c r="A72" s="218">
        <v>125</v>
      </c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219">
        <f t="shared" ref="O72:O77" si="10">SUM(B72:N72)</f>
        <v>0</v>
      </c>
      <c r="P72" s="317"/>
      <c r="Q72" s="219">
        <f t="shared" ref="Q72:Q77" si="11">O72-P72</f>
        <v>0</v>
      </c>
    </row>
    <row r="73" spans="1:17" x14ac:dyDescent="0.25">
      <c r="A73" s="218">
        <v>160</v>
      </c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219">
        <f t="shared" si="10"/>
        <v>0</v>
      </c>
      <c r="P73" s="317"/>
      <c r="Q73" s="219">
        <f t="shared" si="11"/>
        <v>0</v>
      </c>
    </row>
    <row r="74" spans="1:17" x14ac:dyDescent="0.25">
      <c r="A74" s="218">
        <v>200</v>
      </c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219">
        <f t="shared" si="10"/>
        <v>0</v>
      </c>
      <c r="P74" s="317"/>
      <c r="Q74" s="219">
        <f t="shared" si="11"/>
        <v>0</v>
      </c>
    </row>
    <row r="75" spans="1:17" x14ac:dyDescent="0.25">
      <c r="A75" s="218">
        <v>250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219">
        <f t="shared" si="10"/>
        <v>0</v>
      </c>
      <c r="P75" s="317"/>
      <c r="Q75" s="219">
        <f t="shared" si="11"/>
        <v>0</v>
      </c>
    </row>
    <row r="76" spans="1:17" x14ac:dyDescent="0.25">
      <c r="A76" s="218">
        <v>315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  <c r="O76" s="219">
        <f t="shared" si="10"/>
        <v>0</v>
      </c>
      <c r="P76" s="317"/>
      <c r="Q76" s="219">
        <f t="shared" si="11"/>
        <v>0</v>
      </c>
    </row>
    <row r="77" spans="1:17" x14ac:dyDescent="0.25">
      <c r="A77" s="218">
        <v>400</v>
      </c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219">
        <f t="shared" si="10"/>
        <v>0</v>
      </c>
      <c r="P77" s="317"/>
      <c r="Q77" s="219">
        <f t="shared" si="11"/>
        <v>0</v>
      </c>
    </row>
    <row r="78" spans="1:17" x14ac:dyDescent="0.25">
      <c r="A78" s="272">
        <v>500</v>
      </c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  <c r="O78" s="219">
        <f>SUM(B78:N78)</f>
        <v>0</v>
      </c>
      <c r="P78" s="317"/>
      <c r="Q78" s="219">
        <f>O78-P78</f>
        <v>0</v>
      </c>
    </row>
    <row r="79" spans="1:17" x14ac:dyDescent="0.25">
      <c r="A79" s="272">
        <v>630</v>
      </c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219">
        <f>SUM(B79:N79)</f>
        <v>0</v>
      </c>
      <c r="P79" s="317"/>
      <c r="Q79" s="219">
        <f>O79-P79</f>
        <v>0</v>
      </c>
    </row>
    <row r="80" spans="1:17" x14ac:dyDescent="0.25">
      <c r="A80" s="272">
        <v>800</v>
      </c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219">
        <f>SUM(B80:N80)</f>
        <v>0</v>
      </c>
      <c r="P80" s="317"/>
      <c r="Q80" s="219">
        <f>O80-P80</f>
        <v>0</v>
      </c>
    </row>
    <row r="81" spans="1:17" x14ac:dyDescent="0.25">
      <c r="A81" s="272">
        <v>1000</v>
      </c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  <c r="O81" s="219">
        <f>SUM(B81:N81)</f>
        <v>0</v>
      </c>
      <c r="P81" s="317"/>
      <c r="Q81" s="219">
        <f>O81-P81</f>
        <v>0</v>
      </c>
    </row>
    <row r="82" spans="1:17" x14ac:dyDescent="0.25">
      <c r="A82" s="272">
        <v>1250</v>
      </c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219">
        <f>SUM(B82:N82)</f>
        <v>0</v>
      </c>
      <c r="P82" s="317"/>
      <c r="Q82" s="219">
        <f>O82-P82</f>
        <v>0</v>
      </c>
    </row>
    <row r="83" spans="1:17" x14ac:dyDescent="0.25">
      <c r="C83" s="109"/>
      <c r="E83" s="109"/>
      <c r="P83" s="109"/>
    </row>
    <row r="84" spans="1:17" x14ac:dyDescent="0.25">
      <c r="M84" s="301"/>
      <c r="O84" s="301"/>
    </row>
    <row r="85" spans="1:17" ht="13" thickBot="1" x14ac:dyDescent="0.3">
      <c r="A85" s="135" t="s">
        <v>399</v>
      </c>
      <c r="B85" s="112"/>
      <c r="C85" s="220"/>
      <c r="D85" s="112"/>
      <c r="E85" s="220"/>
      <c r="F85" s="112"/>
      <c r="G85" s="112"/>
      <c r="H85" s="112"/>
      <c r="I85" s="112"/>
      <c r="J85" s="112"/>
    </row>
    <row r="87" spans="1:17" x14ac:dyDescent="0.25">
      <c r="A87" s="137"/>
      <c r="B87" s="137" t="s">
        <v>252</v>
      </c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Q87" s="137"/>
    </row>
    <row r="88" spans="1:17" x14ac:dyDescent="0.25">
      <c r="A88" s="217" t="s">
        <v>273</v>
      </c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17" t="s">
        <v>253</v>
      </c>
      <c r="P88" s="217" t="s">
        <v>254</v>
      </c>
      <c r="Q88" s="217" t="s">
        <v>255</v>
      </c>
    </row>
    <row r="89" spans="1:17" x14ac:dyDescent="0.25">
      <c r="A89" s="218">
        <v>100</v>
      </c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  <c r="O89" s="219">
        <f>SUM(B89:N89)</f>
        <v>0</v>
      </c>
      <c r="P89" s="317"/>
      <c r="Q89" s="219">
        <f>O89-P89</f>
        <v>0</v>
      </c>
    </row>
    <row r="90" spans="1:17" x14ac:dyDescent="0.25">
      <c r="A90" s="218">
        <v>125</v>
      </c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  <c r="O90" s="219">
        <f t="shared" ref="O90:O95" si="12">SUM(B90:N90)</f>
        <v>0</v>
      </c>
      <c r="P90" s="317"/>
      <c r="Q90" s="219">
        <f t="shared" ref="Q90:Q95" si="13">O90-P90</f>
        <v>0</v>
      </c>
    </row>
    <row r="91" spans="1:17" x14ac:dyDescent="0.25">
      <c r="A91" s="218">
        <v>160</v>
      </c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  <c r="O91" s="219">
        <f t="shared" si="12"/>
        <v>0</v>
      </c>
      <c r="P91" s="317"/>
      <c r="Q91" s="219">
        <f t="shared" si="13"/>
        <v>0</v>
      </c>
    </row>
    <row r="92" spans="1:17" x14ac:dyDescent="0.25">
      <c r="A92" s="218">
        <v>200</v>
      </c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  <c r="O92" s="219">
        <f t="shared" si="12"/>
        <v>0</v>
      </c>
      <c r="P92" s="317"/>
      <c r="Q92" s="219">
        <f t="shared" si="13"/>
        <v>0</v>
      </c>
    </row>
    <row r="93" spans="1:17" x14ac:dyDescent="0.25">
      <c r="A93" s="218">
        <v>250</v>
      </c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  <c r="O93" s="219">
        <f t="shared" si="12"/>
        <v>0</v>
      </c>
      <c r="P93" s="317"/>
      <c r="Q93" s="219">
        <f t="shared" si="13"/>
        <v>0</v>
      </c>
    </row>
    <row r="94" spans="1:17" x14ac:dyDescent="0.25">
      <c r="A94" s="218">
        <v>315</v>
      </c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  <c r="O94" s="219">
        <f t="shared" si="12"/>
        <v>0</v>
      </c>
      <c r="P94" s="317"/>
      <c r="Q94" s="219">
        <f t="shared" si="13"/>
        <v>0</v>
      </c>
    </row>
    <row r="95" spans="1:17" x14ac:dyDescent="0.25">
      <c r="A95" s="218">
        <v>400</v>
      </c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219">
        <f t="shared" si="12"/>
        <v>0</v>
      </c>
      <c r="P95" s="317"/>
      <c r="Q95" s="219">
        <f t="shared" si="13"/>
        <v>0</v>
      </c>
    </row>
    <row r="96" spans="1:17" x14ac:dyDescent="0.25">
      <c r="C96" s="109"/>
      <c r="E96" s="109"/>
      <c r="P96" s="109"/>
    </row>
    <row r="97" spans="1:17" x14ac:dyDescent="0.25">
      <c r="C97" s="109"/>
      <c r="E97" s="109"/>
      <c r="P97" s="109"/>
    </row>
    <row r="98" spans="1:17" ht="13" thickBot="1" x14ac:dyDescent="0.3">
      <c r="A98" s="135" t="s">
        <v>400</v>
      </c>
      <c r="B98" s="112"/>
      <c r="C98" s="220"/>
      <c r="D98" s="112"/>
      <c r="E98" s="220"/>
      <c r="F98" s="112"/>
      <c r="G98" s="112"/>
      <c r="H98" s="112"/>
      <c r="I98" s="112"/>
      <c r="J98" s="112"/>
    </row>
    <row r="100" spans="1:17" x14ac:dyDescent="0.25">
      <c r="A100" s="137"/>
      <c r="B100" s="137" t="s">
        <v>252</v>
      </c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Q100" s="137"/>
    </row>
    <row r="101" spans="1:17" x14ac:dyDescent="0.25">
      <c r="A101" s="217" t="s">
        <v>273</v>
      </c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17" t="s">
        <v>253</v>
      </c>
      <c r="P101" s="217" t="s">
        <v>254</v>
      </c>
      <c r="Q101" s="217" t="s">
        <v>255</v>
      </c>
    </row>
    <row r="102" spans="1:17" x14ac:dyDescent="0.25">
      <c r="A102" s="218">
        <v>100</v>
      </c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219">
        <f>SUM(B102:N102)</f>
        <v>0</v>
      </c>
      <c r="P102" s="317"/>
      <c r="Q102" s="219">
        <f>O102-P102</f>
        <v>0</v>
      </c>
    </row>
    <row r="103" spans="1:17" x14ac:dyDescent="0.25">
      <c r="A103" s="218">
        <v>125</v>
      </c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219">
        <f t="shared" ref="O103:O110" si="14">SUM(B103:N103)</f>
        <v>0</v>
      </c>
      <c r="P103" s="317"/>
      <c r="Q103" s="219">
        <f t="shared" ref="Q103:Q110" si="15">O103-P103</f>
        <v>0</v>
      </c>
    </row>
    <row r="104" spans="1:17" x14ac:dyDescent="0.25">
      <c r="A104" s="218">
        <v>160</v>
      </c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219">
        <f t="shared" si="14"/>
        <v>0</v>
      </c>
      <c r="P104" s="317"/>
      <c r="Q104" s="219">
        <f t="shared" si="15"/>
        <v>0</v>
      </c>
    </row>
    <row r="105" spans="1:17" x14ac:dyDescent="0.25">
      <c r="A105" s="218">
        <v>200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219">
        <f t="shared" si="14"/>
        <v>0</v>
      </c>
      <c r="P105" s="317"/>
      <c r="Q105" s="219">
        <f t="shared" si="15"/>
        <v>0</v>
      </c>
    </row>
    <row r="106" spans="1:17" x14ac:dyDescent="0.25">
      <c r="A106" s="218">
        <v>250</v>
      </c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219">
        <f t="shared" si="14"/>
        <v>0</v>
      </c>
      <c r="P106" s="317"/>
      <c r="Q106" s="219">
        <f t="shared" si="15"/>
        <v>0</v>
      </c>
    </row>
    <row r="107" spans="1:17" x14ac:dyDescent="0.25">
      <c r="A107" s="218">
        <v>315</v>
      </c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219">
        <f t="shared" si="14"/>
        <v>0</v>
      </c>
      <c r="P107" s="317"/>
      <c r="Q107" s="219">
        <f t="shared" si="15"/>
        <v>0</v>
      </c>
    </row>
    <row r="108" spans="1:17" x14ac:dyDescent="0.25">
      <c r="A108" s="218">
        <v>400</v>
      </c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219">
        <f t="shared" si="14"/>
        <v>0</v>
      </c>
      <c r="P108" s="317"/>
      <c r="Q108" s="219">
        <f t="shared" si="15"/>
        <v>0</v>
      </c>
    </row>
    <row r="109" spans="1:17" x14ac:dyDescent="0.25">
      <c r="A109" s="218">
        <v>500</v>
      </c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219">
        <f t="shared" si="14"/>
        <v>0</v>
      </c>
      <c r="P109" s="317"/>
      <c r="Q109" s="219">
        <f t="shared" si="15"/>
        <v>0</v>
      </c>
    </row>
    <row r="110" spans="1:17" x14ac:dyDescent="0.25">
      <c r="A110" s="218">
        <v>630</v>
      </c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219">
        <f t="shared" si="14"/>
        <v>0</v>
      </c>
      <c r="P110" s="317"/>
      <c r="Q110" s="219">
        <f t="shared" si="15"/>
        <v>0</v>
      </c>
    </row>
    <row r="113" spans="1:17" ht="13" thickBot="1" x14ac:dyDescent="0.3">
      <c r="A113" s="135" t="s">
        <v>451</v>
      </c>
      <c r="B113" s="112"/>
      <c r="C113" s="220"/>
      <c r="D113" s="112"/>
      <c r="E113" s="220"/>
      <c r="F113" s="112"/>
      <c r="G113" s="112"/>
      <c r="H113" s="112"/>
    </row>
    <row r="115" spans="1:17" x14ac:dyDescent="0.25">
      <c r="A115" s="137"/>
      <c r="B115" s="137" t="s">
        <v>252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Q115" s="137"/>
    </row>
    <row r="116" spans="1:17" x14ac:dyDescent="0.25">
      <c r="A116" s="217" t="s">
        <v>273</v>
      </c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17" t="s">
        <v>253</v>
      </c>
      <c r="P116" s="217" t="s">
        <v>254</v>
      </c>
      <c r="Q116" s="217" t="s">
        <v>255</v>
      </c>
    </row>
    <row r="117" spans="1:17" x14ac:dyDescent="0.25">
      <c r="A117" s="218">
        <v>100</v>
      </c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219">
        <f>SUM(B117:N117)</f>
        <v>0</v>
      </c>
      <c r="P117" s="317"/>
      <c r="Q117" s="219">
        <f>O117-P117</f>
        <v>0</v>
      </c>
    </row>
    <row r="118" spans="1:17" x14ac:dyDescent="0.25">
      <c r="A118" s="218">
        <v>125</v>
      </c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219">
        <f t="shared" ref="O118:O125" si="16">SUM(B118:N118)</f>
        <v>0</v>
      </c>
      <c r="P118" s="317"/>
      <c r="Q118" s="219">
        <f t="shared" ref="Q118:Q125" si="17">O118-P118</f>
        <v>0</v>
      </c>
    </row>
    <row r="119" spans="1:17" x14ac:dyDescent="0.25">
      <c r="A119" s="218">
        <v>160</v>
      </c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219">
        <f t="shared" si="16"/>
        <v>0</v>
      </c>
      <c r="P119" s="317"/>
      <c r="Q119" s="219">
        <f t="shared" si="17"/>
        <v>0</v>
      </c>
    </row>
    <row r="120" spans="1:17" x14ac:dyDescent="0.25">
      <c r="A120" s="218">
        <v>200</v>
      </c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219">
        <f t="shared" si="16"/>
        <v>0</v>
      </c>
      <c r="P120" s="317"/>
      <c r="Q120" s="219">
        <f t="shared" si="17"/>
        <v>0</v>
      </c>
    </row>
    <row r="121" spans="1:17" x14ac:dyDescent="0.25">
      <c r="A121" s="218">
        <v>250</v>
      </c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219">
        <f t="shared" si="16"/>
        <v>0</v>
      </c>
      <c r="P121" s="317"/>
      <c r="Q121" s="219">
        <f t="shared" si="17"/>
        <v>0</v>
      </c>
    </row>
    <row r="122" spans="1:17" x14ac:dyDescent="0.25">
      <c r="A122" s="218">
        <v>315</v>
      </c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219">
        <f t="shared" si="16"/>
        <v>0</v>
      </c>
      <c r="P122" s="317"/>
      <c r="Q122" s="219">
        <f t="shared" si="17"/>
        <v>0</v>
      </c>
    </row>
    <row r="123" spans="1:17" x14ac:dyDescent="0.25">
      <c r="A123" s="218">
        <v>400</v>
      </c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219">
        <f t="shared" si="16"/>
        <v>0</v>
      </c>
      <c r="P123" s="317"/>
      <c r="Q123" s="219">
        <f t="shared" si="17"/>
        <v>0</v>
      </c>
    </row>
    <row r="124" spans="1:17" x14ac:dyDescent="0.25">
      <c r="A124" s="218">
        <v>500</v>
      </c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219">
        <f t="shared" si="16"/>
        <v>0</v>
      </c>
      <c r="P124" s="317"/>
      <c r="Q124" s="219">
        <f t="shared" si="17"/>
        <v>0</v>
      </c>
    </row>
    <row r="125" spans="1:17" x14ac:dyDescent="0.25">
      <c r="A125" s="218">
        <v>630</v>
      </c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219">
        <f t="shared" si="16"/>
        <v>0</v>
      </c>
      <c r="P125" s="317"/>
      <c r="Q125" s="219">
        <f t="shared" si="17"/>
        <v>0</v>
      </c>
    </row>
  </sheetData>
  <sheetProtection password="C75E" sheet="1"/>
  <phoneticPr fontId="0" type="noConversion"/>
  <hyperlinks>
    <hyperlink ref="M25" location="Etusivu!A1" tooltip="Tästä pääset etusivulle" display="Etusivu" xr:uid="{00000000-0004-0000-0300-000000000000}"/>
    <hyperlink ref="M67" location="Etusivu!A1" tooltip="Tästä pääset etusivulle" display="Etusivu" xr:uid="{00000000-0004-0000-0300-000001000000}"/>
    <hyperlink ref="O25" location="Etusivu!A392" tooltip="Tästä pääset laittamaan olosuhde/haittalisät" display="Haittalisä" xr:uid="{00000000-0004-0000-0300-000002000000}"/>
    <hyperlink ref="O67" location="Etusivu!A392" tooltip="Tästä pääset laittamaan olosuhde/haittalisät" display="Haittalisä" xr:uid="{00000000-0004-0000-0300-000003000000}"/>
  </hyperlinks>
  <pageMargins left="0.74803149606299213" right="0.74803149606299213" top="0.47244094488188981" bottom="0.4724409448818898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54"/>
  <sheetViews>
    <sheetView zoomScale="90" zoomScaleNormal="100" zoomScaleSheetLayoutView="75" workbookViewId="0">
      <selection activeCell="N4" sqref="N4"/>
    </sheetView>
  </sheetViews>
  <sheetFormatPr defaultColWidth="9.1796875" defaultRowHeight="12.5" x14ac:dyDescent="0.25"/>
  <cols>
    <col min="1" max="1" width="9.26953125" style="109" customWidth="1"/>
    <col min="2" max="5" width="7.26953125" style="109" customWidth="1"/>
    <col min="6" max="6" width="9.1796875" style="109" customWidth="1"/>
    <col min="7" max="8" width="7.26953125" style="109" customWidth="1"/>
    <col min="9" max="9" width="9.81640625" style="109" customWidth="1"/>
    <col min="10" max="15" width="7.26953125" style="109" customWidth="1"/>
    <col min="16" max="16" width="9.453125" style="109" customWidth="1"/>
    <col min="17" max="21" width="7.26953125" style="109" customWidth="1"/>
    <col min="22" max="22" width="7.1796875" style="109" customWidth="1"/>
    <col min="23" max="23" width="7.453125" style="109" customWidth="1"/>
    <col min="24" max="27" width="7.26953125" style="109" customWidth="1"/>
    <col min="28" max="16384" width="9.1796875" style="109"/>
  </cols>
  <sheetData>
    <row r="1" spans="1:17" ht="15.75" customHeight="1" x14ac:dyDescent="0.25"/>
    <row r="2" spans="1:17" ht="18" customHeight="1" x14ac:dyDescent="0.35">
      <c r="A2" s="138" t="s">
        <v>275</v>
      </c>
      <c r="C2" s="215"/>
      <c r="E2" s="215"/>
      <c r="J2" s="148"/>
      <c r="P2" s="137"/>
    </row>
    <row r="3" spans="1:17" ht="12.75" customHeight="1" x14ac:dyDescent="0.35">
      <c r="A3" s="138"/>
      <c r="C3" s="215"/>
      <c r="E3" s="215"/>
      <c r="J3" s="148"/>
      <c r="P3" s="137"/>
    </row>
    <row r="4" spans="1:17" ht="14.25" customHeight="1" thickBot="1" x14ac:dyDescent="0.35">
      <c r="A4" s="141" t="s">
        <v>276</v>
      </c>
      <c r="B4" s="112"/>
      <c r="C4" s="220"/>
      <c r="D4" s="112"/>
      <c r="E4" s="220"/>
      <c r="F4" s="112"/>
      <c r="J4" s="148"/>
      <c r="N4" s="327" t="s">
        <v>234</v>
      </c>
      <c r="P4" s="327" t="s">
        <v>299</v>
      </c>
    </row>
    <row r="5" spans="1:17" x14ac:dyDescent="0.25">
      <c r="C5" s="215"/>
      <c r="E5" s="215"/>
      <c r="J5" s="148"/>
      <c r="P5" s="137"/>
    </row>
    <row r="6" spans="1:17" x14ac:dyDescent="0.25">
      <c r="A6" s="137"/>
      <c r="B6" s="137" t="s">
        <v>252</v>
      </c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</row>
    <row r="7" spans="1:17" x14ac:dyDescent="0.25">
      <c r="A7" s="217" t="s">
        <v>278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17" t="s">
        <v>253</v>
      </c>
      <c r="P7" s="217" t="s">
        <v>254</v>
      </c>
      <c r="Q7" s="217" t="s">
        <v>255</v>
      </c>
    </row>
    <row r="8" spans="1:17" x14ac:dyDescent="0.25">
      <c r="A8" s="224" t="s">
        <v>137</v>
      </c>
      <c r="B8" s="316" t="s">
        <v>67</v>
      </c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219">
        <f t="shared" ref="O8:O13" si="0">SUM(B8:N8)</f>
        <v>0</v>
      </c>
      <c r="P8" s="317"/>
      <c r="Q8" s="219">
        <f t="shared" ref="Q8:Q13" si="1">O8-P8</f>
        <v>0</v>
      </c>
    </row>
    <row r="9" spans="1:17" x14ac:dyDescent="0.25">
      <c r="A9" s="224" t="s">
        <v>138</v>
      </c>
      <c r="B9" s="316"/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219">
        <f t="shared" si="0"/>
        <v>0</v>
      </c>
      <c r="P9" s="317"/>
      <c r="Q9" s="219">
        <f t="shared" si="1"/>
        <v>0</v>
      </c>
    </row>
    <row r="10" spans="1:17" x14ac:dyDescent="0.25">
      <c r="A10" s="224" t="s">
        <v>139</v>
      </c>
      <c r="B10" s="316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219">
        <f t="shared" si="0"/>
        <v>0</v>
      </c>
      <c r="P10" s="317"/>
      <c r="Q10" s="219">
        <f t="shared" si="1"/>
        <v>0</v>
      </c>
    </row>
    <row r="11" spans="1:17" x14ac:dyDescent="0.25">
      <c r="A11" s="224" t="s">
        <v>140</v>
      </c>
      <c r="B11" s="316"/>
      <c r="C11" s="316"/>
      <c r="D11" s="316"/>
      <c r="E11" s="316"/>
      <c r="F11" s="316"/>
      <c r="G11" s="316"/>
      <c r="H11" s="316"/>
      <c r="I11" s="316"/>
      <c r="J11" s="316"/>
      <c r="K11" s="316"/>
      <c r="L11" s="316"/>
      <c r="M11" s="316"/>
      <c r="N11" s="316"/>
      <c r="O11" s="219">
        <f t="shared" si="0"/>
        <v>0</v>
      </c>
      <c r="P11" s="317"/>
      <c r="Q11" s="219">
        <f t="shared" si="1"/>
        <v>0</v>
      </c>
    </row>
    <row r="12" spans="1:17" x14ac:dyDescent="0.25">
      <c r="A12" s="224" t="s">
        <v>142</v>
      </c>
      <c r="B12" s="316"/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219">
        <f t="shared" si="0"/>
        <v>0</v>
      </c>
      <c r="P12" s="317"/>
      <c r="Q12" s="219">
        <f t="shared" si="1"/>
        <v>0</v>
      </c>
    </row>
    <row r="13" spans="1:17" x14ac:dyDescent="0.25">
      <c r="A13" s="224" t="s">
        <v>143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219">
        <f t="shared" si="0"/>
        <v>0</v>
      </c>
      <c r="P13" s="317"/>
      <c r="Q13" s="219">
        <f t="shared" si="1"/>
        <v>0</v>
      </c>
    </row>
    <row r="15" spans="1:17" ht="11.25" customHeight="1" x14ac:dyDescent="0.25"/>
    <row r="16" spans="1:17" ht="13.5" thickBot="1" x14ac:dyDescent="0.35">
      <c r="A16" s="141" t="s">
        <v>277</v>
      </c>
      <c r="B16" s="112"/>
      <c r="C16" s="220"/>
      <c r="D16" s="112"/>
      <c r="E16" s="220"/>
      <c r="F16" s="162"/>
      <c r="P16" s="137"/>
    </row>
    <row r="17" spans="1:17" ht="12.75" customHeight="1" x14ac:dyDescent="0.25">
      <c r="C17" s="215"/>
      <c r="E17" s="215"/>
      <c r="P17" s="137"/>
    </row>
    <row r="18" spans="1:17" x14ac:dyDescent="0.25">
      <c r="A18" s="137"/>
      <c r="B18" s="137" t="s">
        <v>252</v>
      </c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</row>
    <row r="19" spans="1:17" ht="12.75" customHeight="1" x14ac:dyDescent="0.25">
      <c r="A19" s="217" t="s">
        <v>278</v>
      </c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17" t="s">
        <v>253</v>
      </c>
      <c r="P19" s="217" t="s">
        <v>254</v>
      </c>
      <c r="Q19" s="217" t="s">
        <v>255</v>
      </c>
    </row>
    <row r="20" spans="1:17" x14ac:dyDescent="0.25">
      <c r="A20" s="224" t="s">
        <v>137</v>
      </c>
      <c r="B20" s="316" t="s">
        <v>67</v>
      </c>
      <c r="C20" s="316"/>
      <c r="D20" s="316"/>
      <c r="E20" s="316"/>
      <c r="F20" s="316"/>
      <c r="G20" s="316"/>
      <c r="H20" s="316"/>
      <c r="I20" s="316"/>
      <c r="J20" s="316"/>
      <c r="K20" s="316"/>
      <c r="L20" s="316"/>
      <c r="M20" s="316"/>
      <c r="N20" s="316"/>
      <c r="O20" s="219">
        <f t="shared" ref="O20:O25" si="2">SUM(B20:N20)</f>
        <v>0</v>
      </c>
      <c r="P20" s="317"/>
      <c r="Q20" s="219">
        <f t="shared" ref="Q20:Q25" si="3">O20-P20</f>
        <v>0</v>
      </c>
    </row>
    <row r="21" spans="1:17" ht="12.75" customHeight="1" x14ac:dyDescent="0.25">
      <c r="A21" s="224" t="s">
        <v>138</v>
      </c>
      <c r="B21" s="316"/>
      <c r="C21" s="316"/>
      <c r="D21" s="316"/>
      <c r="E21" s="316"/>
      <c r="F21" s="316"/>
      <c r="G21" s="316"/>
      <c r="H21" s="316"/>
      <c r="I21" s="316"/>
      <c r="J21" s="316"/>
      <c r="K21" s="316"/>
      <c r="L21" s="316"/>
      <c r="M21" s="316"/>
      <c r="N21" s="316"/>
      <c r="O21" s="219">
        <f t="shared" si="2"/>
        <v>0</v>
      </c>
      <c r="P21" s="317"/>
      <c r="Q21" s="219">
        <f t="shared" si="3"/>
        <v>0</v>
      </c>
    </row>
    <row r="22" spans="1:17" x14ac:dyDescent="0.25">
      <c r="A22" s="224" t="s">
        <v>139</v>
      </c>
      <c r="B22" s="316"/>
      <c r="C22" s="316"/>
      <c r="D22" s="316"/>
      <c r="E22" s="316"/>
      <c r="F22" s="316"/>
      <c r="G22" s="316"/>
      <c r="H22" s="316"/>
      <c r="I22" s="316"/>
      <c r="J22" s="316"/>
      <c r="K22" s="316"/>
      <c r="L22" s="316"/>
      <c r="M22" s="316"/>
      <c r="N22" s="316"/>
      <c r="O22" s="219">
        <f t="shared" si="2"/>
        <v>0</v>
      </c>
      <c r="P22" s="317"/>
      <c r="Q22" s="219">
        <f t="shared" si="3"/>
        <v>0</v>
      </c>
    </row>
    <row r="23" spans="1:17" x14ac:dyDescent="0.25">
      <c r="A23" s="224" t="s">
        <v>140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  <c r="O23" s="219">
        <f t="shared" si="2"/>
        <v>0</v>
      </c>
      <c r="P23" s="317"/>
      <c r="Q23" s="219">
        <f t="shared" si="3"/>
        <v>0</v>
      </c>
    </row>
    <row r="24" spans="1:17" x14ac:dyDescent="0.25">
      <c r="A24" s="224" t="s">
        <v>142</v>
      </c>
      <c r="B24" s="316"/>
      <c r="C24" s="316"/>
      <c r="D24" s="316"/>
      <c r="E24" s="316"/>
      <c r="F24" s="316"/>
      <c r="G24" s="316"/>
      <c r="H24" s="316"/>
      <c r="I24" s="316"/>
      <c r="J24" s="316"/>
      <c r="K24" s="316"/>
      <c r="L24" s="316"/>
      <c r="M24" s="316"/>
      <c r="N24" s="316"/>
      <c r="O24" s="219">
        <f t="shared" si="2"/>
        <v>0</v>
      </c>
      <c r="P24" s="317"/>
      <c r="Q24" s="219">
        <f t="shared" si="3"/>
        <v>0</v>
      </c>
    </row>
    <row r="25" spans="1:17" x14ac:dyDescent="0.25">
      <c r="A25" s="224" t="s">
        <v>143</v>
      </c>
      <c r="B25" s="316"/>
      <c r="C25" s="316"/>
      <c r="D25" s="316"/>
      <c r="E25" s="316"/>
      <c r="F25" s="316"/>
      <c r="G25" s="316"/>
      <c r="H25" s="316"/>
      <c r="I25" s="316"/>
      <c r="J25" s="316"/>
      <c r="K25" s="316"/>
      <c r="L25" s="316"/>
      <c r="M25" s="316"/>
      <c r="N25" s="316"/>
      <c r="O25" s="219">
        <f t="shared" si="2"/>
        <v>0</v>
      </c>
      <c r="P25" s="317"/>
      <c r="Q25" s="224">
        <f t="shared" si="3"/>
        <v>0</v>
      </c>
    </row>
    <row r="28" spans="1:17" ht="12.75" customHeight="1" thickBot="1" x14ac:dyDescent="0.35">
      <c r="A28" s="141" t="s">
        <v>279</v>
      </c>
      <c r="B28" s="112"/>
      <c r="C28" s="220"/>
      <c r="D28" s="112"/>
      <c r="E28" s="220"/>
      <c r="F28" s="112"/>
      <c r="G28" s="112"/>
      <c r="H28" s="112"/>
      <c r="I28" s="112"/>
      <c r="J28" s="112"/>
      <c r="K28" s="112"/>
      <c r="L28" s="112"/>
      <c r="M28" s="136"/>
      <c r="N28" s="112"/>
      <c r="O28" s="112"/>
      <c r="P28" s="112"/>
    </row>
    <row r="29" spans="1:17" ht="13.5" customHeight="1" x14ac:dyDescent="0.3">
      <c r="A29" s="162"/>
      <c r="C29" s="215"/>
      <c r="E29" s="215"/>
      <c r="M29" s="137"/>
    </row>
    <row r="30" spans="1:17" ht="13" x14ac:dyDescent="0.3">
      <c r="A30" s="162"/>
      <c r="C30" s="215"/>
      <c r="E30" s="215"/>
      <c r="M30" s="137"/>
    </row>
    <row r="31" spans="1:17" ht="13.5" thickBot="1" x14ac:dyDescent="0.35">
      <c r="A31" s="162"/>
      <c r="B31" s="141" t="s">
        <v>422</v>
      </c>
      <c r="C31" s="225"/>
      <c r="D31" s="141"/>
      <c r="E31" s="215"/>
      <c r="I31" s="162"/>
      <c r="J31" s="141" t="s">
        <v>280</v>
      </c>
      <c r="K31" s="225"/>
      <c r="M31" s="215"/>
      <c r="N31" s="327" t="s">
        <v>234</v>
      </c>
      <c r="P31" s="327" t="s">
        <v>299</v>
      </c>
    </row>
    <row r="32" spans="1:17" x14ac:dyDescent="0.25">
      <c r="A32" s="137"/>
      <c r="B32" s="137" t="s">
        <v>252</v>
      </c>
      <c r="C32" s="137"/>
      <c r="D32" s="137"/>
      <c r="E32" s="137"/>
      <c r="G32" s="137"/>
      <c r="H32" s="137"/>
      <c r="I32" s="137"/>
      <c r="J32" s="137" t="s">
        <v>252</v>
      </c>
      <c r="K32" s="137"/>
      <c r="L32" s="137"/>
      <c r="M32" s="137"/>
      <c r="O32" s="137"/>
      <c r="P32" s="137"/>
    </row>
    <row r="33" spans="1:15" x14ac:dyDescent="0.25">
      <c r="A33" s="217" t="s">
        <v>278</v>
      </c>
      <c r="B33" s="221"/>
      <c r="C33" s="221"/>
      <c r="D33" s="221"/>
      <c r="E33" s="221"/>
      <c r="F33" s="221"/>
      <c r="G33" s="217" t="s">
        <v>253</v>
      </c>
      <c r="H33" s="137"/>
      <c r="I33" s="217" t="s">
        <v>278</v>
      </c>
      <c r="J33" s="221"/>
      <c r="K33" s="221"/>
      <c r="L33" s="221"/>
      <c r="M33" s="221"/>
      <c r="N33" s="221"/>
      <c r="O33" s="217" t="s">
        <v>253</v>
      </c>
    </row>
    <row r="34" spans="1:15" x14ac:dyDescent="0.25">
      <c r="A34" s="224" t="s">
        <v>137</v>
      </c>
      <c r="B34" s="316" t="s">
        <v>67</v>
      </c>
      <c r="C34" s="316"/>
      <c r="D34" s="316"/>
      <c r="E34" s="316"/>
      <c r="F34" s="316"/>
      <c r="G34" s="219">
        <f t="shared" ref="G34:G39" si="4">SUM(B34:F34)</f>
        <v>0</v>
      </c>
      <c r="H34" s="133"/>
      <c r="I34" s="224" t="s">
        <v>137</v>
      </c>
      <c r="J34" s="316" t="s">
        <v>67</v>
      </c>
      <c r="K34" s="316"/>
      <c r="L34" s="316"/>
      <c r="M34" s="316"/>
      <c r="N34" s="316"/>
      <c r="O34" s="219">
        <f t="shared" ref="O34:O39" si="5">SUM(J34:N34)</f>
        <v>0</v>
      </c>
    </row>
    <row r="35" spans="1:15" x14ac:dyDescent="0.25">
      <c r="A35" s="224" t="s">
        <v>138</v>
      </c>
      <c r="B35" s="316" t="s">
        <v>67</v>
      </c>
      <c r="C35" s="316"/>
      <c r="D35" s="316"/>
      <c r="E35" s="316"/>
      <c r="F35" s="316"/>
      <c r="G35" s="224">
        <f t="shared" si="4"/>
        <v>0</v>
      </c>
      <c r="H35" s="226"/>
      <c r="I35" s="224" t="s">
        <v>138</v>
      </c>
      <c r="J35" s="316"/>
      <c r="K35" s="316"/>
      <c r="L35" s="316"/>
      <c r="M35" s="316"/>
      <c r="N35" s="316"/>
      <c r="O35" s="224">
        <f t="shared" si="5"/>
        <v>0</v>
      </c>
    </row>
    <row r="36" spans="1:15" ht="12" customHeight="1" x14ac:dyDescent="0.25">
      <c r="A36" s="224" t="s">
        <v>139</v>
      </c>
      <c r="B36" s="316"/>
      <c r="C36" s="316"/>
      <c r="D36" s="316"/>
      <c r="E36" s="316"/>
      <c r="F36" s="316"/>
      <c r="G36" s="219">
        <f t="shared" si="4"/>
        <v>0</v>
      </c>
      <c r="H36" s="133"/>
      <c r="I36" s="224" t="s">
        <v>139</v>
      </c>
      <c r="J36" s="316"/>
      <c r="K36" s="316"/>
      <c r="L36" s="316"/>
      <c r="M36" s="316"/>
      <c r="N36" s="316"/>
      <c r="O36" s="219">
        <f t="shared" si="5"/>
        <v>0</v>
      </c>
    </row>
    <row r="37" spans="1:15" x14ac:dyDescent="0.25">
      <c r="A37" s="224" t="s">
        <v>140</v>
      </c>
      <c r="B37" s="316"/>
      <c r="C37" s="316"/>
      <c r="D37" s="316"/>
      <c r="E37" s="316"/>
      <c r="F37" s="316"/>
      <c r="G37" s="224">
        <f t="shared" si="4"/>
        <v>0</v>
      </c>
      <c r="H37" s="226"/>
      <c r="I37" s="224" t="s">
        <v>140</v>
      </c>
      <c r="J37" s="316"/>
      <c r="K37" s="316"/>
      <c r="L37" s="316"/>
      <c r="M37" s="316"/>
      <c r="N37" s="316"/>
      <c r="O37" s="224">
        <f t="shared" si="5"/>
        <v>0</v>
      </c>
    </row>
    <row r="38" spans="1:15" x14ac:dyDescent="0.25">
      <c r="A38" s="224" t="s">
        <v>142</v>
      </c>
      <c r="B38" s="316"/>
      <c r="C38" s="316"/>
      <c r="D38" s="316"/>
      <c r="E38" s="316"/>
      <c r="F38" s="316"/>
      <c r="G38" s="219">
        <f t="shared" si="4"/>
        <v>0</v>
      </c>
      <c r="I38" s="224" t="s">
        <v>142</v>
      </c>
      <c r="J38" s="316"/>
      <c r="K38" s="316"/>
      <c r="L38" s="316"/>
      <c r="M38" s="316"/>
      <c r="N38" s="316"/>
      <c r="O38" s="219">
        <f t="shared" si="5"/>
        <v>0</v>
      </c>
    </row>
    <row r="39" spans="1:15" x14ac:dyDescent="0.25">
      <c r="A39" s="224" t="s">
        <v>143</v>
      </c>
      <c r="B39" s="316"/>
      <c r="C39" s="316"/>
      <c r="D39" s="316"/>
      <c r="E39" s="316"/>
      <c r="F39" s="316"/>
      <c r="G39" s="224">
        <f t="shared" si="4"/>
        <v>0</v>
      </c>
      <c r="I39" s="224" t="s">
        <v>143</v>
      </c>
      <c r="J39" s="316"/>
      <c r="K39" s="316"/>
      <c r="L39" s="316"/>
      <c r="M39" s="316"/>
      <c r="N39" s="316"/>
      <c r="O39" s="224">
        <f t="shared" si="5"/>
        <v>0</v>
      </c>
    </row>
    <row r="42" spans="1:15" ht="13.5" thickBot="1" x14ac:dyDescent="0.35">
      <c r="A42" s="162"/>
      <c r="B42" s="141" t="s">
        <v>281</v>
      </c>
      <c r="C42" s="225"/>
      <c r="D42" s="141"/>
      <c r="E42" s="215"/>
      <c r="I42" s="162"/>
      <c r="J42" s="141" t="s">
        <v>282</v>
      </c>
      <c r="K42" s="225"/>
      <c r="L42" s="162"/>
      <c r="M42" s="215"/>
    </row>
    <row r="43" spans="1:15" x14ac:dyDescent="0.25">
      <c r="A43" s="137"/>
      <c r="B43" s="137" t="s">
        <v>252</v>
      </c>
      <c r="C43" s="137"/>
      <c r="D43" s="137"/>
      <c r="E43" s="137"/>
      <c r="G43" s="137"/>
      <c r="I43" s="137"/>
      <c r="J43" s="137" t="s">
        <v>252</v>
      </c>
      <c r="K43" s="137"/>
      <c r="L43" s="137"/>
      <c r="M43" s="137"/>
      <c r="O43" s="137"/>
    </row>
    <row r="44" spans="1:15" x14ac:dyDescent="0.25">
      <c r="A44" s="217" t="s">
        <v>278</v>
      </c>
      <c r="B44" s="221"/>
      <c r="C44" s="221"/>
      <c r="D44" s="221"/>
      <c r="E44" s="221"/>
      <c r="F44" s="221"/>
      <c r="G44" s="217" t="s">
        <v>253</v>
      </c>
      <c r="I44" s="217" t="s">
        <v>278</v>
      </c>
      <c r="J44" s="221"/>
      <c r="K44" s="221"/>
      <c r="L44" s="221"/>
      <c r="M44" s="221"/>
      <c r="N44" s="221"/>
      <c r="O44" s="217" t="s">
        <v>253</v>
      </c>
    </row>
    <row r="45" spans="1:15" x14ac:dyDescent="0.25">
      <c r="A45" s="224" t="s">
        <v>137</v>
      </c>
      <c r="B45" s="316" t="s">
        <v>67</v>
      </c>
      <c r="C45" s="316"/>
      <c r="D45" s="316"/>
      <c r="E45" s="316"/>
      <c r="F45" s="316"/>
      <c r="G45" s="219">
        <f t="shared" ref="G45:G50" si="6">SUM(B45:F45)</f>
        <v>0</v>
      </c>
      <c r="I45" s="224" t="s">
        <v>137</v>
      </c>
      <c r="J45" s="316" t="s">
        <v>67</v>
      </c>
      <c r="K45" s="316"/>
      <c r="L45" s="316"/>
      <c r="M45" s="316"/>
      <c r="N45" s="316"/>
      <c r="O45" s="219">
        <f t="shared" ref="O45:O50" si="7">SUM(J45:N45)</f>
        <v>0</v>
      </c>
    </row>
    <row r="46" spans="1:15" x14ac:dyDescent="0.25">
      <c r="A46" s="224" t="s">
        <v>138</v>
      </c>
      <c r="B46" s="316"/>
      <c r="C46" s="316"/>
      <c r="D46" s="316"/>
      <c r="E46" s="316"/>
      <c r="F46" s="316"/>
      <c r="G46" s="224">
        <f t="shared" si="6"/>
        <v>0</v>
      </c>
      <c r="I46" s="224" t="s">
        <v>138</v>
      </c>
      <c r="J46" s="316"/>
      <c r="K46" s="316"/>
      <c r="L46" s="316"/>
      <c r="M46" s="316"/>
      <c r="N46" s="316"/>
      <c r="O46" s="224">
        <f t="shared" si="7"/>
        <v>0</v>
      </c>
    </row>
    <row r="47" spans="1:15" x14ac:dyDescent="0.25">
      <c r="A47" s="224" t="s">
        <v>139</v>
      </c>
      <c r="B47" s="316"/>
      <c r="C47" s="316"/>
      <c r="D47" s="316"/>
      <c r="E47" s="316"/>
      <c r="F47" s="316"/>
      <c r="G47" s="219">
        <f t="shared" si="6"/>
        <v>0</v>
      </c>
      <c r="I47" s="224" t="s">
        <v>139</v>
      </c>
      <c r="J47" s="316"/>
      <c r="K47" s="316"/>
      <c r="L47" s="316"/>
      <c r="M47" s="316"/>
      <c r="N47" s="316"/>
      <c r="O47" s="219">
        <f t="shared" si="7"/>
        <v>0</v>
      </c>
    </row>
    <row r="48" spans="1:15" x14ac:dyDescent="0.25">
      <c r="A48" s="224" t="s">
        <v>140</v>
      </c>
      <c r="B48" s="316"/>
      <c r="C48" s="316"/>
      <c r="D48" s="316"/>
      <c r="E48" s="316"/>
      <c r="F48" s="316"/>
      <c r="G48" s="224">
        <f t="shared" si="6"/>
        <v>0</v>
      </c>
      <c r="I48" s="224" t="s">
        <v>140</v>
      </c>
      <c r="J48" s="316"/>
      <c r="K48" s="316"/>
      <c r="L48" s="316"/>
      <c r="M48" s="316"/>
      <c r="N48" s="316"/>
      <c r="O48" s="224">
        <f t="shared" si="7"/>
        <v>0</v>
      </c>
    </row>
    <row r="49" spans="1:15" x14ac:dyDescent="0.25">
      <c r="A49" s="224" t="s">
        <v>142</v>
      </c>
      <c r="B49" s="316"/>
      <c r="C49" s="316"/>
      <c r="D49" s="316"/>
      <c r="E49" s="316"/>
      <c r="F49" s="316"/>
      <c r="G49" s="219">
        <f t="shared" si="6"/>
        <v>0</v>
      </c>
      <c r="I49" s="224" t="s">
        <v>142</v>
      </c>
      <c r="J49" s="316"/>
      <c r="K49" s="316"/>
      <c r="L49" s="316"/>
      <c r="M49" s="316"/>
      <c r="N49" s="316"/>
      <c r="O49" s="219">
        <f t="shared" si="7"/>
        <v>0</v>
      </c>
    </row>
    <row r="50" spans="1:15" x14ac:dyDescent="0.25">
      <c r="A50" s="224" t="s">
        <v>143</v>
      </c>
      <c r="B50" s="316"/>
      <c r="C50" s="316"/>
      <c r="D50" s="316"/>
      <c r="E50" s="316"/>
      <c r="F50" s="316"/>
      <c r="G50" s="224">
        <f t="shared" si="6"/>
        <v>0</v>
      </c>
      <c r="I50" s="224" t="s">
        <v>143</v>
      </c>
      <c r="J50" s="316"/>
      <c r="K50" s="316"/>
      <c r="L50" s="316"/>
      <c r="M50" s="316"/>
      <c r="N50" s="316"/>
      <c r="O50" s="224">
        <f t="shared" si="7"/>
        <v>0</v>
      </c>
    </row>
    <row r="54" spans="1:15" x14ac:dyDescent="0.25">
      <c r="A54" s="137"/>
      <c r="B54" s="137"/>
      <c r="C54" s="137"/>
    </row>
  </sheetData>
  <sheetProtection algorithmName="SHA-512" hashValue="xCjJl5TeiT2qMh8sSZHRUFislciE6SHOK1WkaEHIga0R8QpuYta9QYmwGw598vT6wAlaRIPj9EMQGXVM/uUpvA==" saltValue="HMqYp+pw6RWTAV1Pi2mDgw==" spinCount="100000" sheet="1"/>
  <phoneticPr fontId="0" type="noConversion"/>
  <hyperlinks>
    <hyperlink ref="N4" location="Etusivu!A1" tooltip="Tästä pääset etusivulle" display="Etusivu" xr:uid="{00000000-0004-0000-0400-000000000000}"/>
    <hyperlink ref="N31" location="Etusivu!A1" tooltip="Tästä pääset etusivulle" display="Etusivu" xr:uid="{00000000-0004-0000-0400-000001000000}"/>
    <hyperlink ref="P4" location="Etusivu!A392" tooltip="Tästä pääset laittamaan olosuhde/haittalisät" display="Haittalisä" xr:uid="{00000000-0004-0000-0400-000002000000}"/>
    <hyperlink ref="P31" location="Etusivu!A392" tooltip="Tästä pääset laittamaan olosuhde/haittalisät" display="Haittalisä" xr:uid="{00000000-0004-0000-0400-000003000000}"/>
  </hyperlinks>
  <pageMargins left="0.43307086614173229" right="0.59055118110236227" top="0.51181102362204722" bottom="0.51181102362204722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9"/>
  <sheetViews>
    <sheetView workbookViewId="0">
      <selection activeCell="F16" sqref="F16"/>
    </sheetView>
  </sheetViews>
  <sheetFormatPr defaultColWidth="9.1796875" defaultRowHeight="12.5" x14ac:dyDescent="0.25"/>
  <cols>
    <col min="1" max="1" width="9.26953125" style="109" customWidth="1"/>
    <col min="2" max="15" width="7.26953125" style="109" customWidth="1"/>
    <col min="16" max="16" width="9.26953125" style="109" customWidth="1"/>
    <col min="17" max="26" width="7.26953125" style="109" customWidth="1"/>
    <col min="27" max="16384" width="9.1796875" style="109"/>
  </cols>
  <sheetData>
    <row r="1" spans="1:18" ht="19.5" customHeight="1" x14ac:dyDescent="0.25"/>
    <row r="2" spans="1:18" x14ac:dyDescent="0.25">
      <c r="N2" s="326" t="s">
        <v>234</v>
      </c>
      <c r="P2" s="326" t="s">
        <v>299</v>
      </c>
    </row>
    <row r="3" spans="1:18" ht="13.5" thickBot="1" x14ac:dyDescent="0.35">
      <c r="A3" s="141" t="s">
        <v>283</v>
      </c>
      <c r="B3" s="141"/>
      <c r="C3" s="141"/>
      <c r="D3" s="162"/>
    </row>
    <row r="4" spans="1:18" ht="15" customHeight="1" x14ac:dyDescent="0.25">
      <c r="D4" s="137"/>
      <c r="E4" s="137"/>
      <c r="F4" s="137" t="s">
        <v>252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</row>
    <row r="5" spans="1:18" ht="12.75" customHeight="1" x14ac:dyDescent="0.25">
      <c r="A5" s="227" t="s">
        <v>63</v>
      </c>
      <c r="B5" s="125"/>
      <c r="C5" s="125"/>
      <c r="D5" s="125"/>
      <c r="E5" s="131"/>
      <c r="F5" s="229"/>
      <c r="G5" s="221"/>
      <c r="H5" s="221"/>
      <c r="I5" s="221"/>
      <c r="J5" s="221"/>
      <c r="K5" s="221"/>
      <c r="L5" s="221"/>
      <c r="M5" s="221"/>
      <c r="N5" s="221"/>
      <c r="O5" s="217" t="s">
        <v>253</v>
      </c>
      <c r="P5" s="217" t="s">
        <v>254</v>
      </c>
      <c r="Q5" s="217" t="s">
        <v>255</v>
      </c>
    </row>
    <row r="6" spans="1:18" ht="12.75" customHeight="1" x14ac:dyDescent="0.25">
      <c r="A6" s="128" t="s">
        <v>284</v>
      </c>
      <c r="B6" s="129"/>
      <c r="C6" s="129"/>
      <c r="D6" s="129"/>
      <c r="E6" s="126"/>
      <c r="F6" s="318"/>
      <c r="G6" s="316"/>
      <c r="H6" s="316"/>
      <c r="I6" s="316"/>
      <c r="J6" s="316"/>
      <c r="K6" s="316"/>
      <c r="L6" s="316"/>
      <c r="M6" s="316"/>
      <c r="N6" s="316"/>
      <c r="O6" s="219">
        <f>SUM(B6:N6)</f>
        <v>0</v>
      </c>
      <c r="P6" s="317"/>
      <c r="Q6" s="219">
        <f t="shared" ref="Q6:Q15" si="0">O6-P6</f>
        <v>0</v>
      </c>
    </row>
    <row r="7" spans="1:18" ht="12.75" customHeight="1" x14ac:dyDescent="0.25">
      <c r="A7" s="483" t="s">
        <v>469</v>
      </c>
      <c r="B7" s="124"/>
      <c r="C7" s="124"/>
      <c r="D7" s="124"/>
      <c r="E7" s="130"/>
      <c r="F7" s="318"/>
      <c r="G7" s="316"/>
      <c r="H7" s="316"/>
      <c r="I7" s="316"/>
      <c r="J7" s="316"/>
      <c r="K7" s="316"/>
      <c r="L7" s="316"/>
      <c r="M7" s="316"/>
      <c r="N7" s="316"/>
      <c r="O7" s="219">
        <f t="shared" ref="O7:O15" si="1">SUM(B7:N7)</f>
        <v>0</v>
      </c>
      <c r="P7" s="317"/>
      <c r="Q7" s="219">
        <f t="shared" si="0"/>
        <v>0</v>
      </c>
    </row>
    <row r="8" spans="1:18" ht="12.75" customHeight="1" x14ac:dyDescent="0.25">
      <c r="A8" s="415" t="s">
        <v>468</v>
      </c>
      <c r="B8" s="129"/>
      <c r="C8" s="129"/>
      <c r="D8" s="129"/>
      <c r="E8" s="126"/>
      <c r="F8" s="318"/>
      <c r="G8" s="316"/>
      <c r="H8" s="316"/>
      <c r="I8" s="316"/>
      <c r="J8" s="316"/>
      <c r="K8" s="316"/>
      <c r="L8" s="316"/>
      <c r="M8" s="316"/>
      <c r="N8" s="316"/>
      <c r="O8" s="219">
        <f t="shared" si="1"/>
        <v>0</v>
      </c>
      <c r="P8" s="317"/>
      <c r="Q8" s="219">
        <f t="shared" si="0"/>
        <v>0</v>
      </c>
    </row>
    <row r="9" spans="1:18" ht="12.75" customHeight="1" x14ac:dyDescent="0.25">
      <c r="A9" s="762" t="s">
        <v>467</v>
      </c>
      <c r="B9" s="763"/>
      <c r="C9" s="763"/>
      <c r="D9" s="763"/>
      <c r="E9" s="764"/>
      <c r="F9" s="318"/>
      <c r="G9" s="316"/>
      <c r="H9" s="316"/>
      <c r="I9" s="316"/>
      <c r="J9" s="316"/>
      <c r="K9" s="316"/>
      <c r="L9" s="316"/>
      <c r="M9" s="316"/>
      <c r="N9" s="316"/>
      <c r="O9" s="219">
        <f t="shared" si="1"/>
        <v>0</v>
      </c>
      <c r="P9" s="317"/>
      <c r="Q9" s="219">
        <f t="shared" si="0"/>
        <v>0</v>
      </c>
    </row>
    <row r="10" spans="1:18" ht="12.75" customHeight="1" x14ac:dyDescent="0.25">
      <c r="A10" s="415" t="s">
        <v>74</v>
      </c>
      <c r="B10" s="129"/>
      <c r="C10" s="129"/>
      <c r="D10" s="129"/>
      <c r="E10" s="126"/>
      <c r="F10" s="318"/>
      <c r="G10" s="316"/>
      <c r="H10" s="316"/>
      <c r="I10" s="316"/>
      <c r="J10" s="316"/>
      <c r="K10" s="316"/>
      <c r="L10" s="316"/>
      <c r="M10" s="316"/>
      <c r="N10" s="316"/>
      <c r="O10" s="219">
        <f t="shared" si="1"/>
        <v>0</v>
      </c>
      <c r="P10" s="317"/>
      <c r="Q10" s="219">
        <f t="shared" si="0"/>
        <v>0</v>
      </c>
    </row>
    <row r="11" spans="1:18" ht="12.75" customHeight="1" x14ac:dyDescent="0.25">
      <c r="A11" s="415" t="s">
        <v>62</v>
      </c>
      <c r="B11" s="129"/>
      <c r="C11" s="129"/>
      <c r="D11" s="129"/>
      <c r="E11" s="126"/>
      <c r="F11" s="318"/>
      <c r="G11" s="316"/>
      <c r="H11" s="316"/>
      <c r="I11" s="316"/>
      <c r="J11" s="316"/>
      <c r="K11" s="316"/>
      <c r="L11" s="316"/>
      <c r="M11" s="316"/>
      <c r="N11" s="316"/>
      <c r="O11" s="219">
        <f t="shared" si="1"/>
        <v>0</v>
      </c>
      <c r="P11" s="317"/>
      <c r="Q11" s="219">
        <f t="shared" si="0"/>
        <v>0</v>
      </c>
    </row>
    <row r="12" spans="1:18" ht="13.5" customHeight="1" x14ac:dyDescent="0.25">
      <c r="A12" s="415" t="s">
        <v>470</v>
      </c>
      <c r="B12" s="129"/>
      <c r="C12" s="129"/>
      <c r="D12" s="129"/>
      <c r="E12" s="130"/>
      <c r="F12" s="318"/>
      <c r="G12" s="316"/>
      <c r="H12" s="316"/>
      <c r="I12" s="316"/>
      <c r="J12" s="316"/>
      <c r="K12" s="316"/>
      <c r="L12" s="316"/>
      <c r="M12" s="316"/>
      <c r="N12" s="316"/>
      <c r="O12" s="219">
        <f t="shared" si="1"/>
        <v>0</v>
      </c>
      <c r="P12" s="317"/>
      <c r="Q12" s="224">
        <f t="shared" si="0"/>
        <v>0</v>
      </c>
    </row>
    <row r="13" spans="1:18" x14ac:dyDescent="0.25">
      <c r="A13" s="416" t="s">
        <v>471</v>
      </c>
      <c r="B13" s="127"/>
      <c r="C13" s="127"/>
      <c r="D13" s="127"/>
      <c r="E13" s="130"/>
      <c r="F13" s="318"/>
      <c r="G13" s="316"/>
      <c r="H13" s="316"/>
      <c r="I13" s="316"/>
      <c r="J13" s="316"/>
      <c r="K13" s="316"/>
      <c r="L13" s="316"/>
      <c r="M13" s="316"/>
      <c r="N13" s="316"/>
      <c r="O13" s="219">
        <f t="shared" si="1"/>
        <v>0</v>
      </c>
      <c r="P13" s="317"/>
      <c r="Q13" s="219">
        <f t="shared" si="0"/>
        <v>0</v>
      </c>
    </row>
    <row r="14" spans="1:18" x14ac:dyDescent="0.25">
      <c r="A14" s="415" t="s">
        <v>409</v>
      </c>
      <c r="B14" s="129"/>
      <c r="C14" s="129"/>
      <c r="D14" s="129"/>
      <c r="E14" s="130"/>
      <c r="F14" s="316"/>
      <c r="G14" s="316"/>
      <c r="H14" s="316"/>
      <c r="I14" s="316"/>
      <c r="J14" s="316"/>
      <c r="K14" s="316"/>
      <c r="L14" s="316"/>
      <c r="M14" s="316"/>
      <c r="N14" s="316"/>
      <c r="O14" s="219">
        <f t="shared" si="1"/>
        <v>0</v>
      </c>
      <c r="P14" s="317"/>
      <c r="Q14" s="219">
        <f t="shared" si="0"/>
        <v>0</v>
      </c>
    </row>
    <row r="15" spans="1:18" x14ac:dyDescent="0.25">
      <c r="A15" s="416" t="s">
        <v>410</v>
      </c>
      <c r="B15" s="127"/>
      <c r="C15" s="127"/>
      <c r="D15" s="127"/>
      <c r="E15" s="414"/>
      <c r="F15" s="316"/>
      <c r="G15" s="316"/>
      <c r="H15" s="316"/>
      <c r="I15" s="316"/>
      <c r="J15" s="316"/>
      <c r="K15" s="316"/>
      <c r="L15" s="316"/>
      <c r="M15" s="316"/>
      <c r="N15" s="316"/>
      <c r="O15" s="219">
        <f t="shared" si="1"/>
        <v>0</v>
      </c>
      <c r="P15" s="317"/>
      <c r="Q15" s="219">
        <f t="shared" si="0"/>
        <v>0</v>
      </c>
    </row>
    <row r="16" spans="1:18" ht="15" customHeight="1" x14ac:dyDescent="0.25"/>
    <row r="17" spans="1:17" ht="15" customHeight="1" x14ac:dyDescent="0.25"/>
    <row r="18" spans="1:17" ht="12.75" customHeight="1" thickBot="1" x14ac:dyDescent="0.35">
      <c r="A18" s="141" t="s">
        <v>496</v>
      </c>
      <c r="B18" s="112"/>
      <c r="C18" s="220"/>
      <c r="D18" s="112"/>
      <c r="E18" s="220"/>
      <c r="F18" s="112"/>
      <c r="G18" s="112"/>
      <c r="K18" s="388" t="s">
        <v>299</v>
      </c>
      <c r="P18" s="137"/>
    </row>
    <row r="19" spans="1:17" ht="12.75" customHeight="1" x14ac:dyDescent="0.3">
      <c r="B19" s="593" t="s">
        <v>497</v>
      </c>
      <c r="C19" s="215"/>
      <c r="E19" s="215"/>
      <c r="P19" s="137"/>
    </row>
    <row r="20" spans="1:17" ht="15" customHeight="1" x14ac:dyDescent="0.25">
      <c r="A20" s="137"/>
      <c r="B20" s="137" t="s">
        <v>252</v>
      </c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</row>
    <row r="21" spans="1:17" ht="12.75" customHeight="1" x14ac:dyDescent="0.25">
      <c r="A21" s="217" t="s">
        <v>49</v>
      </c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17" t="s">
        <v>253</v>
      </c>
      <c r="P21" s="217" t="s">
        <v>254</v>
      </c>
      <c r="Q21" s="217" t="s">
        <v>255</v>
      </c>
    </row>
    <row r="22" spans="1:17" ht="12.75" customHeight="1" x14ac:dyDescent="0.25">
      <c r="A22" s="224">
        <v>-15</v>
      </c>
      <c r="B22" s="316"/>
      <c r="C22" s="316"/>
      <c r="D22" s="316"/>
      <c r="E22" s="316"/>
      <c r="F22" s="316" t="s">
        <v>67</v>
      </c>
      <c r="G22" s="316"/>
      <c r="H22" s="316"/>
      <c r="I22" s="316"/>
      <c r="J22" s="316"/>
      <c r="K22" s="316"/>
      <c r="L22" s="316"/>
      <c r="M22" s="316"/>
      <c r="N22" s="316"/>
      <c r="O22" s="219">
        <f t="shared" ref="O22:O27" si="2">SUM(B22:N22)</f>
        <v>0</v>
      </c>
      <c r="P22" s="317"/>
      <c r="Q22" s="219">
        <f t="shared" ref="Q22:Q27" si="3">O22-P22</f>
        <v>0</v>
      </c>
    </row>
    <row r="23" spans="1:17" x14ac:dyDescent="0.25">
      <c r="A23" s="224">
        <v>-35</v>
      </c>
      <c r="B23" s="316"/>
      <c r="C23" s="316"/>
      <c r="D23" s="316"/>
      <c r="E23" s="316"/>
      <c r="F23" s="316" t="s">
        <v>67</v>
      </c>
      <c r="G23" s="316"/>
      <c r="H23" s="316"/>
      <c r="I23" s="316"/>
      <c r="J23" s="316"/>
      <c r="K23" s="316"/>
      <c r="L23" s="316"/>
      <c r="M23" s="316"/>
      <c r="N23" s="316"/>
      <c r="O23" s="219">
        <f t="shared" si="2"/>
        <v>0</v>
      </c>
      <c r="P23" s="317"/>
      <c r="Q23" s="219">
        <f t="shared" si="3"/>
        <v>0</v>
      </c>
    </row>
    <row r="24" spans="1:17" ht="12.75" customHeight="1" x14ac:dyDescent="0.25">
      <c r="A24" s="224">
        <v>-60</v>
      </c>
      <c r="B24" s="316"/>
      <c r="C24" s="316"/>
      <c r="D24" s="316"/>
      <c r="E24" s="316"/>
      <c r="F24" s="316" t="s">
        <v>67</v>
      </c>
      <c r="G24" s="316"/>
      <c r="H24" s="316"/>
      <c r="I24" s="316"/>
      <c r="J24" s="316"/>
      <c r="K24" s="316"/>
      <c r="L24" s="316"/>
      <c r="M24" s="316"/>
      <c r="N24" s="316"/>
      <c r="O24" s="219">
        <f t="shared" si="2"/>
        <v>0</v>
      </c>
      <c r="P24" s="317"/>
      <c r="Q24" s="219">
        <f t="shared" si="3"/>
        <v>0</v>
      </c>
    </row>
    <row r="25" spans="1:17" ht="12.75" customHeight="1" x14ac:dyDescent="0.25">
      <c r="A25" s="224">
        <v>-100</v>
      </c>
      <c r="B25" s="316"/>
      <c r="C25" s="316"/>
      <c r="D25" s="316"/>
      <c r="E25" s="316"/>
      <c r="F25" s="316" t="s">
        <v>67</v>
      </c>
      <c r="G25" s="316"/>
      <c r="H25" s="316"/>
      <c r="I25" s="316"/>
      <c r="J25" s="316"/>
      <c r="K25" s="316"/>
      <c r="L25" s="316"/>
      <c r="M25" s="316"/>
      <c r="N25" s="316"/>
      <c r="O25" s="219">
        <f t="shared" si="2"/>
        <v>0</v>
      </c>
      <c r="P25" s="317"/>
      <c r="Q25" s="219">
        <f t="shared" si="3"/>
        <v>0</v>
      </c>
    </row>
    <row r="26" spans="1:17" ht="12.75" customHeight="1" x14ac:dyDescent="0.25">
      <c r="A26" s="224">
        <v>-150</v>
      </c>
      <c r="B26" s="316"/>
      <c r="C26" s="316"/>
      <c r="D26" s="316"/>
      <c r="E26" s="316"/>
      <c r="F26" s="316" t="s">
        <v>67</v>
      </c>
      <c r="G26" s="316"/>
      <c r="H26" s="316"/>
      <c r="I26" s="316"/>
      <c r="J26" s="316"/>
      <c r="K26" s="316"/>
      <c r="L26" s="316"/>
      <c r="M26" s="316"/>
      <c r="N26" s="316"/>
      <c r="O26" s="219">
        <f t="shared" si="2"/>
        <v>0</v>
      </c>
      <c r="P26" s="317"/>
      <c r="Q26" s="219">
        <f t="shared" si="3"/>
        <v>0</v>
      </c>
    </row>
    <row r="27" spans="1:17" ht="15" customHeight="1" x14ac:dyDescent="0.25">
      <c r="A27" s="224">
        <v>-200</v>
      </c>
      <c r="B27" s="316"/>
      <c r="C27" s="316"/>
      <c r="D27" s="316"/>
      <c r="E27" s="316"/>
      <c r="F27" s="316" t="s">
        <v>67</v>
      </c>
      <c r="G27" s="316"/>
      <c r="H27" s="316"/>
      <c r="I27" s="316"/>
      <c r="J27" s="316"/>
      <c r="K27" s="316"/>
      <c r="L27" s="316"/>
      <c r="M27" s="316"/>
      <c r="N27" s="316"/>
      <c r="O27" s="219">
        <f t="shared" si="2"/>
        <v>0</v>
      </c>
      <c r="P27" s="317"/>
      <c r="Q27" s="224">
        <f t="shared" si="3"/>
        <v>0</v>
      </c>
    </row>
    <row r="28" spans="1:17" ht="15" customHeight="1" x14ac:dyDescent="0.25"/>
    <row r="29" spans="1:17" ht="15" customHeight="1" x14ac:dyDescent="0.25"/>
    <row r="30" spans="1:17" ht="15" customHeight="1" thickBot="1" x14ac:dyDescent="0.35">
      <c r="A30" s="141" t="s">
        <v>496</v>
      </c>
      <c r="B30" s="112"/>
      <c r="C30" s="220"/>
      <c r="D30" s="112"/>
      <c r="E30" s="220"/>
      <c r="F30" s="112"/>
      <c r="G30" s="112"/>
      <c r="K30" s="388" t="s">
        <v>299</v>
      </c>
      <c r="P30" s="137"/>
    </row>
    <row r="31" spans="1:17" ht="15" customHeight="1" x14ac:dyDescent="0.3">
      <c r="B31" s="593" t="s">
        <v>498</v>
      </c>
      <c r="C31" s="215"/>
      <c r="E31" s="215"/>
      <c r="P31" s="137"/>
    </row>
    <row r="32" spans="1:17" ht="15" customHeight="1" x14ac:dyDescent="0.25">
      <c r="A32" s="137"/>
      <c r="B32" s="137" t="s">
        <v>252</v>
      </c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</row>
    <row r="33" spans="1:17" ht="15" customHeight="1" x14ac:dyDescent="0.25">
      <c r="A33" s="217" t="s">
        <v>49</v>
      </c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17" t="s">
        <v>253</v>
      </c>
      <c r="P33" s="217" t="s">
        <v>254</v>
      </c>
      <c r="Q33" s="217" t="s">
        <v>255</v>
      </c>
    </row>
    <row r="34" spans="1:17" ht="15" customHeight="1" x14ac:dyDescent="0.25">
      <c r="A34" s="224">
        <v>-15</v>
      </c>
      <c r="B34" s="316"/>
      <c r="C34" s="316"/>
      <c r="D34" s="316"/>
      <c r="E34" s="316"/>
      <c r="F34" s="316" t="s">
        <v>67</v>
      </c>
      <c r="G34" s="316"/>
      <c r="H34" s="316"/>
      <c r="I34" s="316"/>
      <c r="J34" s="316"/>
      <c r="K34" s="316"/>
      <c r="L34" s="316"/>
      <c r="M34" s="316"/>
      <c r="N34" s="316"/>
      <c r="O34" s="219">
        <f t="shared" ref="O34:O39" si="4">SUM(B34:N34)</f>
        <v>0</v>
      </c>
      <c r="P34" s="317"/>
      <c r="Q34" s="219">
        <f t="shared" ref="Q34:Q39" si="5">O34-P34</f>
        <v>0</v>
      </c>
    </row>
    <row r="35" spans="1:17" ht="15" customHeight="1" x14ac:dyDescent="0.25">
      <c r="A35" s="224">
        <v>-35</v>
      </c>
      <c r="B35" s="316"/>
      <c r="C35" s="316"/>
      <c r="D35" s="316"/>
      <c r="E35" s="316"/>
      <c r="F35" s="316" t="s">
        <v>67</v>
      </c>
      <c r="G35" s="316"/>
      <c r="H35" s="316"/>
      <c r="I35" s="316"/>
      <c r="J35" s="316"/>
      <c r="K35" s="316"/>
      <c r="L35" s="316"/>
      <c r="M35" s="316"/>
      <c r="N35" s="316"/>
      <c r="O35" s="219">
        <f t="shared" si="4"/>
        <v>0</v>
      </c>
      <c r="P35" s="317"/>
      <c r="Q35" s="219">
        <f t="shared" si="5"/>
        <v>0</v>
      </c>
    </row>
    <row r="36" spans="1:17" ht="15" customHeight="1" x14ac:dyDescent="0.25">
      <c r="A36" s="224">
        <v>-60</v>
      </c>
      <c r="B36" s="316"/>
      <c r="C36" s="316"/>
      <c r="D36" s="316"/>
      <c r="E36" s="316"/>
      <c r="F36" s="316" t="s">
        <v>67</v>
      </c>
      <c r="G36" s="316"/>
      <c r="H36" s="316"/>
      <c r="I36" s="316"/>
      <c r="J36" s="316"/>
      <c r="K36" s="316"/>
      <c r="L36" s="316"/>
      <c r="M36" s="316"/>
      <c r="N36" s="316"/>
      <c r="O36" s="219">
        <f t="shared" si="4"/>
        <v>0</v>
      </c>
      <c r="P36" s="317"/>
      <c r="Q36" s="219">
        <f t="shared" si="5"/>
        <v>0</v>
      </c>
    </row>
    <row r="37" spans="1:17" ht="15" customHeight="1" x14ac:dyDescent="0.25">
      <c r="A37" s="224">
        <v>-100</v>
      </c>
      <c r="B37" s="316"/>
      <c r="C37" s="316"/>
      <c r="D37" s="316"/>
      <c r="E37" s="316"/>
      <c r="F37" s="316" t="s">
        <v>67</v>
      </c>
      <c r="G37" s="316"/>
      <c r="H37" s="316"/>
      <c r="I37" s="316"/>
      <c r="J37" s="316"/>
      <c r="K37" s="316"/>
      <c r="L37" s="316"/>
      <c r="M37" s="316"/>
      <c r="N37" s="316"/>
      <c r="O37" s="219">
        <f t="shared" si="4"/>
        <v>0</v>
      </c>
      <c r="P37" s="317"/>
      <c r="Q37" s="219">
        <f t="shared" si="5"/>
        <v>0</v>
      </c>
    </row>
    <row r="38" spans="1:17" ht="15" customHeight="1" x14ac:dyDescent="0.25">
      <c r="A38" s="224">
        <v>-150</v>
      </c>
      <c r="B38" s="316"/>
      <c r="C38" s="316"/>
      <c r="D38" s="316"/>
      <c r="E38" s="316"/>
      <c r="F38" s="316" t="s">
        <v>67</v>
      </c>
      <c r="G38" s="316"/>
      <c r="H38" s="316"/>
      <c r="I38" s="316"/>
      <c r="J38" s="316"/>
      <c r="K38" s="316"/>
      <c r="L38" s="316"/>
      <c r="M38" s="316"/>
      <c r="N38" s="316"/>
      <c r="O38" s="219">
        <f t="shared" si="4"/>
        <v>0</v>
      </c>
      <c r="P38" s="317"/>
      <c r="Q38" s="219">
        <f t="shared" si="5"/>
        <v>0</v>
      </c>
    </row>
    <row r="39" spans="1:17" ht="15" customHeight="1" x14ac:dyDescent="0.25">
      <c r="A39" s="224">
        <v>-200</v>
      </c>
      <c r="B39" s="316"/>
      <c r="C39" s="316"/>
      <c r="D39" s="316"/>
      <c r="E39" s="316"/>
      <c r="F39" s="316" t="s">
        <v>67</v>
      </c>
      <c r="G39" s="316"/>
      <c r="H39" s="316"/>
      <c r="I39" s="316"/>
      <c r="J39" s="316"/>
      <c r="K39" s="316"/>
      <c r="L39" s="316"/>
      <c r="M39" s="316"/>
      <c r="N39" s="316"/>
      <c r="O39" s="219">
        <f t="shared" si="4"/>
        <v>0</v>
      </c>
      <c r="P39" s="317"/>
      <c r="Q39" s="224">
        <f t="shared" si="5"/>
        <v>0</v>
      </c>
    </row>
    <row r="40" spans="1:17" ht="15" customHeight="1" x14ac:dyDescent="0.25">
      <c r="A40" s="226"/>
      <c r="B40" s="591"/>
      <c r="C40" s="591"/>
      <c r="D40" s="591"/>
      <c r="E40" s="591"/>
      <c r="F40" s="591"/>
      <c r="G40" s="591"/>
      <c r="H40" s="591"/>
      <c r="I40" s="591"/>
      <c r="J40" s="591"/>
      <c r="K40" s="591"/>
      <c r="L40" s="591"/>
      <c r="M40" s="591"/>
      <c r="N40" s="591"/>
      <c r="O40" s="133"/>
      <c r="P40" s="592"/>
      <c r="Q40" s="226"/>
    </row>
    <row r="41" spans="1:17" ht="15" customHeight="1" x14ac:dyDescent="0.25">
      <c r="A41" s="226"/>
      <c r="B41" s="591"/>
      <c r="C41" s="591"/>
      <c r="D41" s="591"/>
      <c r="E41" s="591"/>
      <c r="F41" s="591"/>
      <c r="G41" s="591"/>
      <c r="H41" s="591"/>
      <c r="I41" s="591"/>
      <c r="J41" s="591"/>
      <c r="K41" s="591"/>
      <c r="L41" s="591"/>
      <c r="M41" s="591"/>
      <c r="N41" s="591"/>
      <c r="O41" s="133"/>
      <c r="P41" s="592"/>
      <c r="Q41" s="226"/>
    </row>
    <row r="42" spans="1:17" ht="15" customHeight="1" thickBot="1" x14ac:dyDescent="0.35">
      <c r="A42" s="141" t="s">
        <v>414</v>
      </c>
      <c r="B42" s="112"/>
      <c r="C42" s="220"/>
      <c r="D42" s="112"/>
      <c r="E42" s="220"/>
      <c r="F42" s="112"/>
      <c r="K42" s="388" t="s">
        <v>299</v>
      </c>
      <c r="P42" s="137"/>
    </row>
    <row r="43" spans="1:17" ht="15" customHeight="1" x14ac:dyDescent="0.25">
      <c r="C43" s="215"/>
      <c r="E43" s="215"/>
      <c r="P43" s="137"/>
    </row>
    <row r="44" spans="1:17" ht="15" customHeight="1" x14ac:dyDescent="0.25">
      <c r="A44" s="137"/>
      <c r="B44" s="137" t="s">
        <v>252</v>
      </c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</row>
    <row r="45" spans="1:17" ht="15" customHeight="1" x14ac:dyDescent="0.25">
      <c r="A45" s="217" t="s">
        <v>413</v>
      </c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17" t="s">
        <v>253</v>
      </c>
      <c r="P45" s="217" t="s">
        <v>254</v>
      </c>
      <c r="Q45" s="217" t="s">
        <v>255</v>
      </c>
    </row>
    <row r="46" spans="1:17" ht="15" customHeight="1" x14ac:dyDescent="0.25">
      <c r="A46" s="224">
        <v>-1500</v>
      </c>
      <c r="B46" s="316"/>
      <c r="C46" s="316"/>
      <c r="D46" s="316"/>
      <c r="E46" s="316"/>
      <c r="F46" s="316" t="s">
        <v>67</v>
      </c>
      <c r="G46" s="316"/>
      <c r="H46" s="316"/>
      <c r="I46" s="316"/>
      <c r="J46" s="316"/>
      <c r="K46" s="316"/>
      <c r="L46" s="316"/>
      <c r="M46" s="316"/>
      <c r="N46" s="316"/>
      <c r="O46" s="219">
        <f t="shared" ref="O46:O51" si="6">SUM(B46:N46)</f>
        <v>0</v>
      </c>
      <c r="P46" s="317"/>
      <c r="Q46" s="219">
        <f t="shared" ref="Q46:Q51" si="7">O46-P46</f>
        <v>0</v>
      </c>
    </row>
    <row r="47" spans="1:17" ht="15" customHeight="1" x14ac:dyDescent="0.25">
      <c r="A47" s="224">
        <v>-2000</v>
      </c>
      <c r="B47" s="316"/>
      <c r="C47" s="316"/>
      <c r="D47" s="316"/>
      <c r="E47" s="316"/>
      <c r="F47" s="316" t="s">
        <v>67</v>
      </c>
      <c r="G47" s="316"/>
      <c r="H47" s="316"/>
      <c r="I47" s="316"/>
      <c r="J47" s="316"/>
      <c r="K47" s="316"/>
      <c r="L47" s="316"/>
      <c r="M47" s="316"/>
      <c r="N47" s="316"/>
      <c r="O47" s="219">
        <f t="shared" si="6"/>
        <v>0</v>
      </c>
      <c r="P47" s="317"/>
      <c r="Q47" s="219">
        <f t="shared" si="7"/>
        <v>0</v>
      </c>
    </row>
    <row r="48" spans="1:17" ht="15" customHeight="1" x14ac:dyDescent="0.25">
      <c r="A48" s="224">
        <v>-2500</v>
      </c>
      <c r="B48" s="316"/>
      <c r="C48" s="316"/>
      <c r="D48" s="316"/>
      <c r="E48" s="316"/>
      <c r="F48" s="316" t="s">
        <v>67</v>
      </c>
      <c r="G48" s="316"/>
      <c r="H48" s="316"/>
      <c r="I48" s="316"/>
      <c r="J48" s="316"/>
      <c r="K48" s="316"/>
      <c r="L48" s="316"/>
      <c r="M48" s="316"/>
      <c r="N48" s="316"/>
      <c r="O48" s="219">
        <f t="shared" si="6"/>
        <v>0</v>
      </c>
      <c r="P48" s="317"/>
      <c r="Q48" s="219">
        <f t="shared" si="7"/>
        <v>0</v>
      </c>
    </row>
    <row r="49" spans="1:17" ht="15" customHeight="1" x14ac:dyDescent="0.25">
      <c r="A49" s="224">
        <v>-3000</v>
      </c>
      <c r="B49" s="316"/>
      <c r="C49" s="316"/>
      <c r="D49" s="316"/>
      <c r="E49" s="316"/>
      <c r="F49" s="316" t="s">
        <v>67</v>
      </c>
      <c r="G49" s="316"/>
      <c r="H49" s="316"/>
      <c r="I49" s="316"/>
      <c r="J49" s="316"/>
      <c r="K49" s="316"/>
      <c r="L49" s="316"/>
      <c r="M49" s="316"/>
      <c r="N49" s="316"/>
      <c r="O49" s="219">
        <f t="shared" si="6"/>
        <v>0</v>
      </c>
      <c r="P49" s="317"/>
      <c r="Q49" s="219">
        <f t="shared" si="7"/>
        <v>0</v>
      </c>
    </row>
    <row r="50" spans="1:17" ht="15" customHeight="1" x14ac:dyDescent="0.25">
      <c r="A50" s="224">
        <v>-3500</v>
      </c>
      <c r="B50" s="316"/>
      <c r="C50" s="316"/>
      <c r="D50" s="316"/>
      <c r="E50" s="316"/>
      <c r="F50" s="316" t="s">
        <v>67</v>
      </c>
      <c r="G50" s="316"/>
      <c r="H50" s="316"/>
      <c r="I50" s="316"/>
      <c r="J50" s="316"/>
      <c r="K50" s="316"/>
      <c r="L50" s="316"/>
      <c r="M50" s="316"/>
      <c r="N50" s="316"/>
      <c r="O50" s="219">
        <f t="shared" si="6"/>
        <v>0</v>
      </c>
      <c r="P50" s="317"/>
      <c r="Q50" s="219">
        <f t="shared" si="7"/>
        <v>0</v>
      </c>
    </row>
    <row r="51" spans="1:17" ht="15" customHeight="1" x14ac:dyDescent="0.25">
      <c r="A51" s="224">
        <v>-4000</v>
      </c>
      <c r="B51" s="316"/>
      <c r="C51" s="316"/>
      <c r="D51" s="316"/>
      <c r="E51" s="316"/>
      <c r="F51" s="316" t="s">
        <v>67</v>
      </c>
      <c r="G51" s="316"/>
      <c r="H51" s="316"/>
      <c r="I51" s="316"/>
      <c r="J51" s="316"/>
      <c r="K51" s="316"/>
      <c r="L51" s="316"/>
      <c r="M51" s="316"/>
      <c r="N51" s="316"/>
      <c r="O51" s="219">
        <f t="shared" si="6"/>
        <v>0</v>
      </c>
      <c r="P51" s="317"/>
      <c r="Q51" s="224">
        <f t="shared" si="7"/>
        <v>0</v>
      </c>
    </row>
    <row r="52" spans="1:17" ht="15" customHeight="1" x14ac:dyDescent="0.25">
      <c r="A52" s="224">
        <v>-4500</v>
      </c>
      <c r="B52" s="316"/>
      <c r="C52" s="316"/>
      <c r="D52" s="316"/>
      <c r="E52" s="316"/>
      <c r="F52" s="316" t="s">
        <v>67</v>
      </c>
      <c r="G52" s="316"/>
      <c r="H52" s="316"/>
      <c r="I52" s="316"/>
      <c r="J52" s="316"/>
      <c r="K52" s="316"/>
      <c r="L52" s="316"/>
      <c r="M52" s="316"/>
      <c r="N52" s="316"/>
      <c r="O52" s="219">
        <f>SUM(B52:N52)</f>
        <v>0</v>
      </c>
      <c r="P52" s="317"/>
      <c r="Q52" s="224">
        <f>O52-P52</f>
        <v>0</v>
      </c>
    </row>
    <row r="53" spans="1:17" ht="15" customHeight="1" x14ac:dyDescent="0.25">
      <c r="A53" s="224">
        <v>-5000</v>
      </c>
      <c r="B53" s="316"/>
      <c r="C53" s="316"/>
      <c r="D53" s="316"/>
      <c r="E53" s="316"/>
      <c r="F53" s="316" t="s">
        <v>67</v>
      </c>
      <c r="G53" s="316"/>
      <c r="H53" s="316"/>
      <c r="I53" s="316"/>
      <c r="J53" s="316"/>
      <c r="K53" s="316"/>
      <c r="L53" s="316"/>
      <c r="M53" s="316"/>
      <c r="N53" s="316"/>
      <c r="O53" s="219">
        <f>SUM(B53:N53)</f>
        <v>0</v>
      </c>
      <c r="P53" s="317"/>
      <c r="Q53" s="224">
        <f>O53-P53</f>
        <v>0</v>
      </c>
    </row>
    <row r="54" spans="1:17" ht="15" customHeight="1" x14ac:dyDescent="0.25"/>
    <row r="55" spans="1:17" ht="15" customHeight="1" x14ac:dyDescent="0.25"/>
    <row r="56" spans="1:17" ht="15" customHeight="1" thickBot="1" x14ac:dyDescent="0.35">
      <c r="A56" s="141" t="s">
        <v>486</v>
      </c>
      <c r="B56" s="112"/>
      <c r="C56" s="220"/>
      <c r="D56" s="112"/>
      <c r="E56" s="220"/>
      <c r="F56" s="112"/>
      <c r="G56" s="112"/>
      <c r="H56" s="112"/>
      <c r="I56" s="112"/>
      <c r="K56" s="388" t="s">
        <v>299</v>
      </c>
      <c r="P56" s="137"/>
    </row>
    <row r="57" spans="1:17" ht="15" customHeight="1" x14ac:dyDescent="0.25">
      <c r="C57" s="215"/>
      <c r="E57" s="215"/>
      <c r="P57" s="137"/>
    </row>
    <row r="58" spans="1:17" ht="15" customHeight="1" x14ac:dyDescent="0.25">
      <c r="A58" s="137"/>
      <c r="B58" s="137" t="s">
        <v>252</v>
      </c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</row>
    <row r="59" spans="1:17" ht="15" customHeight="1" x14ac:dyDescent="0.25">
      <c r="A59" s="217" t="s">
        <v>413</v>
      </c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17" t="s">
        <v>253</v>
      </c>
      <c r="P59" s="217" t="s">
        <v>254</v>
      </c>
      <c r="Q59" s="217" t="s">
        <v>255</v>
      </c>
    </row>
    <row r="60" spans="1:17" ht="15" customHeight="1" x14ac:dyDescent="0.25">
      <c r="A60" s="224">
        <v>-1500</v>
      </c>
      <c r="B60" s="316"/>
      <c r="C60" s="316"/>
      <c r="D60" s="316"/>
      <c r="E60" s="316"/>
      <c r="F60" s="316" t="s">
        <v>67</v>
      </c>
      <c r="G60" s="316"/>
      <c r="H60" s="316"/>
      <c r="I60" s="316"/>
      <c r="J60" s="316"/>
      <c r="K60" s="316"/>
      <c r="L60" s="316"/>
      <c r="M60" s="316"/>
      <c r="N60" s="316"/>
      <c r="O60" s="219">
        <f t="shared" ref="O60:O67" si="8">SUM(B60:N60)</f>
        <v>0</v>
      </c>
      <c r="P60" s="317"/>
      <c r="Q60" s="219">
        <f t="shared" ref="Q60:Q65" si="9">O60-P60</f>
        <v>0</v>
      </c>
    </row>
    <row r="61" spans="1:17" ht="15" customHeight="1" x14ac:dyDescent="0.25">
      <c r="A61" s="224">
        <v>-2000</v>
      </c>
      <c r="B61" s="316"/>
      <c r="C61" s="316"/>
      <c r="D61" s="316"/>
      <c r="E61" s="316"/>
      <c r="F61" s="316" t="s">
        <v>67</v>
      </c>
      <c r="G61" s="316"/>
      <c r="H61" s="316"/>
      <c r="I61" s="316"/>
      <c r="J61" s="316"/>
      <c r="K61" s="316"/>
      <c r="L61" s="316"/>
      <c r="M61" s="316"/>
      <c r="N61" s="316"/>
      <c r="O61" s="219">
        <f t="shared" si="8"/>
        <v>0</v>
      </c>
      <c r="P61" s="317"/>
      <c r="Q61" s="219">
        <f t="shared" si="9"/>
        <v>0</v>
      </c>
    </row>
    <row r="62" spans="1:17" ht="15" customHeight="1" x14ac:dyDescent="0.25">
      <c r="A62" s="224">
        <v>-2500</v>
      </c>
      <c r="B62" s="316"/>
      <c r="C62" s="316"/>
      <c r="D62" s="316"/>
      <c r="E62" s="316"/>
      <c r="F62" s="316" t="s">
        <v>67</v>
      </c>
      <c r="G62" s="316"/>
      <c r="H62" s="316"/>
      <c r="I62" s="316"/>
      <c r="J62" s="316"/>
      <c r="K62" s="316"/>
      <c r="L62" s="316"/>
      <c r="M62" s="316"/>
      <c r="N62" s="316"/>
      <c r="O62" s="219">
        <f t="shared" si="8"/>
        <v>0</v>
      </c>
      <c r="P62" s="317"/>
      <c r="Q62" s="219">
        <f t="shared" si="9"/>
        <v>0</v>
      </c>
    </row>
    <row r="63" spans="1:17" ht="15" customHeight="1" x14ac:dyDescent="0.25">
      <c r="A63" s="224">
        <v>-3000</v>
      </c>
      <c r="B63" s="316"/>
      <c r="C63" s="316"/>
      <c r="D63" s="316"/>
      <c r="E63" s="316"/>
      <c r="F63" s="316" t="s">
        <v>67</v>
      </c>
      <c r="G63" s="316"/>
      <c r="H63" s="316"/>
      <c r="I63" s="316"/>
      <c r="J63" s="316"/>
      <c r="K63" s="316"/>
      <c r="L63" s="316"/>
      <c r="M63" s="316"/>
      <c r="N63" s="316"/>
      <c r="O63" s="219">
        <f t="shared" si="8"/>
        <v>0</v>
      </c>
      <c r="P63" s="317"/>
      <c r="Q63" s="219">
        <f t="shared" si="9"/>
        <v>0</v>
      </c>
    </row>
    <row r="64" spans="1:17" ht="15" customHeight="1" x14ac:dyDescent="0.25">
      <c r="A64" s="224">
        <v>-3500</v>
      </c>
      <c r="B64" s="316"/>
      <c r="C64" s="316"/>
      <c r="D64" s="316"/>
      <c r="E64" s="316"/>
      <c r="F64" s="316" t="s">
        <v>67</v>
      </c>
      <c r="G64" s="316"/>
      <c r="H64" s="316"/>
      <c r="I64" s="316"/>
      <c r="J64" s="316"/>
      <c r="K64" s="316"/>
      <c r="L64" s="316"/>
      <c r="M64" s="316"/>
      <c r="N64" s="316"/>
      <c r="O64" s="219">
        <f t="shared" si="8"/>
        <v>0</v>
      </c>
      <c r="P64" s="317"/>
      <c r="Q64" s="219">
        <f t="shared" si="9"/>
        <v>0</v>
      </c>
    </row>
    <row r="65" spans="1:17" ht="15" customHeight="1" x14ac:dyDescent="0.25">
      <c r="A65" s="224">
        <v>-4000</v>
      </c>
      <c r="B65" s="316"/>
      <c r="C65" s="316"/>
      <c r="D65" s="316"/>
      <c r="E65" s="316"/>
      <c r="F65" s="316" t="s">
        <v>67</v>
      </c>
      <c r="G65" s="316"/>
      <c r="H65" s="316"/>
      <c r="I65" s="316"/>
      <c r="J65" s="316"/>
      <c r="K65" s="316"/>
      <c r="L65" s="316"/>
      <c r="M65" s="316"/>
      <c r="N65" s="316"/>
      <c r="O65" s="219">
        <f t="shared" si="8"/>
        <v>0</v>
      </c>
      <c r="P65" s="317"/>
      <c r="Q65" s="224">
        <f t="shared" si="9"/>
        <v>0</v>
      </c>
    </row>
    <row r="66" spans="1:17" ht="15" customHeight="1" x14ac:dyDescent="0.25">
      <c r="A66" s="224">
        <v>-4500</v>
      </c>
      <c r="B66" s="316"/>
      <c r="C66" s="316"/>
      <c r="D66" s="316"/>
      <c r="E66" s="316"/>
      <c r="F66" s="316" t="s">
        <v>67</v>
      </c>
      <c r="G66" s="316"/>
      <c r="H66" s="316"/>
      <c r="I66" s="316"/>
      <c r="J66" s="316"/>
      <c r="K66" s="316"/>
      <c r="L66" s="316"/>
      <c r="M66" s="316"/>
      <c r="N66" s="316"/>
      <c r="O66" s="219">
        <f t="shared" si="8"/>
        <v>0</v>
      </c>
      <c r="P66" s="317"/>
      <c r="Q66" s="224">
        <f>O66-P66</f>
        <v>0</v>
      </c>
    </row>
    <row r="67" spans="1:17" ht="15" customHeight="1" x14ac:dyDescent="0.25">
      <c r="A67" s="224">
        <v>-5000</v>
      </c>
      <c r="B67" s="316"/>
      <c r="C67" s="316"/>
      <c r="D67" s="316"/>
      <c r="E67" s="316"/>
      <c r="F67" s="316" t="s">
        <v>67</v>
      </c>
      <c r="G67" s="316"/>
      <c r="H67" s="316"/>
      <c r="I67" s="316"/>
      <c r="J67" s="316"/>
      <c r="K67" s="316"/>
      <c r="L67" s="316"/>
      <c r="M67" s="316"/>
      <c r="N67" s="316"/>
      <c r="O67" s="219">
        <f t="shared" si="8"/>
        <v>0</v>
      </c>
      <c r="P67" s="317"/>
      <c r="Q67" s="224">
        <f>O67-P67</f>
        <v>0</v>
      </c>
    </row>
    <row r="68" spans="1:17" ht="15" customHeight="1" x14ac:dyDescent="0.25">
      <c r="A68" s="224">
        <v>-5500</v>
      </c>
      <c r="B68" s="316"/>
      <c r="C68" s="316"/>
      <c r="D68" s="316"/>
      <c r="E68" s="316"/>
      <c r="F68" s="316" t="s">
        <v>67</v>
      </c>
      <c r="G68" s="316"/>
      <c r="H68" s="316"/>
      <c r="I68" s="316"/>
      <c r="J68" s="316"/>
      <c r="K68" s="316"/>
      <c r="L68" s="316"/>
      <c r="M68" s="316"/>
      <c r="N68" s="316"/>
      <c r="O68" s="219">
        <f t="shared" ref="O68:O69" si="10">SUM(B68:N68)</f>
        <v>0</v>
      </c>
      <c r="P68" s="317"/>
      <c r="Q68" s="224">
        <f t="shared" ref="Q68:Q69" si="11">O68-P68</f>
        <v>0</v>
      </c>
    </row>
    <row r="69" spans="1:17" ht="15" customHeight="1" x14ac:dyDescent="0.25">
      <c r="A69" s="224">
        <v>-6000</v>
      </c>
      <c r="B69" s="316"/>
      <c r="C69" s="316"/>
      <c r="D69" s="316"/>
      <c r="E69" s="316"/>
      <c r="F69" s="316" t="s">
        <v>67</v>
      </c>
      <c r="G69" s="316"/>
      <c r="H69" s="316"/>
      <c r="I69" s="316"/>
      <c r="J69" s="316"/>
      <c r="K69" s="316"/>
      <c r="L69" s="316"/>
      <c r="M69" s="316"/>
      <c r="N69" s="316"/>
      <c r="O69" s="219">
        <f t="shared" si="10"/>
        <v>0</v>
      </c>
      <c r="P69" s="317"/>
      <c r="Q69" s="224">
        <f t="shared" si="11"/>
        <v>0</v>
      </c>
    </row>
    <row r="70" spans="1:17" ht="15" customHeight="1" x14ac:dyDescent="0.25"/>
    <row r="71" spans="1:17" ht="15" customHeight="1" x14ac:dyDescent="0.25"/>
    <row r="72" spans="1:17" ht="15" customHeight="1" thickBot="1" x14ac:dyDescent="0.35">
      <c r="A72" s="141" t="s">
        <v>487</v>
      </c>
      <c r="B72" s="112"/>
      <c r="C72" s="220"/>
      <c r="D72" s="112"/>
      <c r="E72" s="220"/>
      <c r="F72" s="112"/>
      <c r="G72" s="112"/>
      <c r="K72" s="388" t="s">
        <v>299</v>
      </c>
      <c r="P72" s="137"/>
    </row>
    <row r="73" spans="1:17" ht="15" customHeight="1" x14ac:dyDescent="0.25">
      <c r="C73" s="215"/>
      <c r="E73" s="215"/>
      <c r="P73" s="137"/>
    </row>
    <row r="74" spans="1:17" ht="15" customHeight="1" x14ac:dyDescent="0.25">
      <c r="A74" s="137"/>
      <c r="B74" s="137" t="s">
        <v>252</v>
      </c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</row>
    <row r="75" spans="1:17" ht="15" customHeight="1" x14ac:dyDescent="0.25">
      <c r="A75" s="217" t="s">
        <v>413</v>
      </c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17" t="s">
        <v>253</v>
      </c>
      <c r="P75" s="217" t="s">
        <v>254</v>
      </c>
      <c r="Q75" s="217" t="s">
        <v>255</v>
      </c>
    </row>
    <row r="76" spans="1:17" ht="15" customHeight="1" x14ac:dyDescent="0.25">
      <c r="A76" s="224">
        <v>-1500</v>
      </c>
      <c r="B76" s="316"/>
      <c r="C76" s="316"/>
      <c r="D76" s="316"/>
      <c r="E76" s="316"/>
      <c r="F76" s="316" t="s">
        <v>67</v>
      </c>
      <c r="G76" s="316"/>
      <c r="H76" s="316"/>
      <c r="I76" s="316"/>
      <c r="J76" s="316"/>
      <c r="K76" s="316"/>
      <c r="L76" s="316"/>
      <c r="M76" s="316"/>
      <c r="N76" s="316"/>
      <c r="O76" s="219">
        <f>SUM(B76:N76)</f>
        <v>0</v>
      </c>
      <c r="P76" s="317"/>
      <c r="Q76" s="219">
        <f t="shared" ref="Q76:Q81" si="12">O76-P76</f>
        <v>0</v>
      </c>
    </row>
    <row r="77" spans="1:17" ht="15" customHeight="1" x14ac:dyDescent="0.25">
      <c r="A77" s="224">
        <v>-2000</v>
      </c>
      <c r="B77" s="316"/>
      <c r="C77" s="316"/>
      <c r="D77" s="316"/>
      <c r="E77" s="316"/>
      <c r="F77" s="316" t="s">
        <v>67</v>
      </c>
      <c r="G77" s="316"/>
      <c r="H77" s="316"/>
      <c r="I77" s="316"/>
      <c r="J77" s="316"/>
      <c r="K77" s="316"/>
      <c r="L77" s="316"/>
      <c r="M77" s="316"/>
      <c r="N77" s="316"/>
      <c r="O77" s="219">
        <f t="shared" ref="O77:O83" si="13">SUM(B77:N77)</f>
        <v>0</v>
      </c>
      <c r="P77" s="317"/>
      <c r="Q77" s="219">
        <f t="shared" si="12"/>
        <v>0</v>
      </c>
    </row>
    <row r="78" spans="1:17" ht="15" customHeight="1" x14ac:dyDescent="0.25">
      <c r="A78" s="224">
        <v>-2500</v>
      </c>
      <c r="B78" s="316"/>
      <c r="C78" s="316"/>
      <c r="D78" s="316"/>
      <c r="E78" s="316"/>
      <c r="F78" s="316" t="s">
        <v>67</v>
      </c>
      <c r="G78" s="316"/>
      <c r="H78" s="316"/>
      <c r="I78" s="316"/>
      <c r="J78" s="316"/>
      <c r="K78" s="316"/>
      <c r="L78" s="316"/>
      <c r="M78" s="316"/>
      <c r="N78" s="316"/>
      <c r="O78" s="219">
        <f t="shared" si="13"/>
        <v>0</v>
      </c>
      <c r="P78" s="317"/>
      <c r="Q78" s="219">
        <f t="shared" si="12"/>
        <v>0</v>
      </c>
    </row>
    <row r="79" spans="1:17" ht="15" customHeight="1" x14ac:dyDescent="0.25">
      <c r="A79" s="224">
        <v>-3000</v>
      </c>
      <c r="B79" s="316"/>
      <c r="C79" s="316"/>
      <c r="D79" s="316"/>
      <c r="E79" s="316"/>
      <c r="F79" s="316" t="s">
        <v>67</v>
      </c>
      <c r="G79" s="316"/>
      <c r="H79" s="316"/>
      <c r="I79" s="316"/>
      <c r="J79" s="316"/>
      <c r="K79" s="316"/>
      <c r="L79" s="316"/>
      <c r="M79" s="316"/>
      <c r="N79" s="316"/>
      <c r="O79" s="219">
        <f t="shared" si="13"/>
        <v>0</v>
      </c>
      <c r="P79" s="317"/>
      <c r="Q79" s="219">
        <f t="shared" si="12"/>
        <v>0</v>
      </c>
    </row>
    <row r="80" spans="1:17" ht="15" customHeight="1" x14ac:dyDescent="0.25">
      <c r="A80" s="224">
        <v>-3500</v>
      </c>
      <c r="B80" s="316"/>
      <c r="C80" s="316"/>
      <c r="D80" s="316"/>
      <c r="E80" s="316"/>
      <c r="F80" s="316" t="s">
        <v>67</v>
      </c>
      <c r="G80" s="316"/>
      <c r="H80" s="316"/>
      <c r="I80" s="316"/>
      <c r="J80" s="316"/>
      <c r="K80" s="316"/>
      <c r="L80" s="316"/>
      <c r="M80" s="316"/>
      <c r="N80" s="316"/>
      <c r="O80" s="219">
        <f t="shared" si="13"/>
        <v>0</v>
      </c>
      <c r="P80" s="317"/>
      <c r="Q80" s="219">
        <f t="shared" si="12"/>
        <v>0</v>
      </c>
    </row>
    <row r="81" spans="1:17" ht="15" customHeight="1" x14ac:dyDescent="0.25">
      <c r="A81" s="224">
        <v>-4000</v>
      </c>
      <c r="B81" s="316"/>
      <c r="C81" s="316"/>
      <c r="D81" s="316"/>
      <c r="E81" s="316"/>
      <c r="F81" s="316" t="s">
        <v>67</v>
      </c>
      <c r="G81" s="316"/>
      <c r="H81" s="316"/>
      <c r="I81" s="316"/>
      <c r="J81" s="316"/>
      <c r="K81" s="316"/>
      <c r="L81" s="316"/>
      <c r="M81" s="316"/>
      <c r="N81" s="316"/>
      <c r="O81" s="219">
        <f t="shared" si="13"/>
        <v>0</v>
      </c>
      <c r="P81" s="317"/>
      <c r="Q81" s="224">
        <f t="shared" si="12"/>
        <v>0</v>
      </c>
    </row>
    <row r="82" spans="1:17" ht="15" customHeight="1" x14ac:dyDescent="0.25">
      <c r="A82" s="224">
        <v>-4500</v>
      </c>
      <c r="B82" s="316"/>
      <c r="C82" s="316"/>
      <c r="D82" s="316"/>
      <c r="E82" s="316"/>
      <c r="F82" s="316" t="s">
        <v>67</v>
      </c>
      <c r="G82" s="316"/>
      <c r="H82" s="316"/>
      <c r="I82" s="316"/>
      <c r="J82" s="316"/>
      <c r="K82" s="316"/>
      <c r="L82" s="316"/>
      <c r="M82" s="316"/>
      <c r="N82" s="316"/>
      <c r="O82" s="219">
        <f t="shared" si="13"/>
        <v>0</v>
      </c>
      <c r="P82" s="317"/>
      <c r="Q82" s="224">
        <f>O82-P82</f>
        <v>0</v>
      </c>
    </row>
    <row r="83" spans="1:17" ht="15" customHeight="1" x14ac:dyDescent="0.25">
      <c r="A83" s="224">
        <v>-5000</v>
      </c>
      <c r="B83" s="316"/>
      <c r="C83" s="316"/>
      <c r="D83" s="316"/>
      <c r="E83" s="316"/>
      <c r="F83" s="316" t="s">
        <v>67</v>
      </c>
      <c r="G83" s="316"/>
      <c r="H83" s="316"/>
      <c r="I83" s="316"/>
      <c r="J83" s="316"/>
      <c r="K83" s="316"/>
      <c r="L83" s="316"/>
      <c r="M83" s="316"/>
      <c r="N83" s="316"/>
      <c r="O83" s="219">
        <f t="shared" si="13"/>
        <v>0</v>
      </c>
      <c r="P83" s="317"/>
      <c r="Q83" s="224">
        <f>O83-P83</f>
        <v>0</v>
      </c>
    </row>
    <row r="84" spans="1:17" ht="15" customHeight="1" x14ac:dyDescent="0.25">
      <c r="A84" s="224">
        <v>-5500</v>
      </c>
      <c r="B84" s="316"/>
      <c r="C84" s="316"/>
      <c r="D84" s="316"/>
      <c r="E84" s="316"/>
      <c r="F84" s="316" t="s">
        <v>67</v>
      </c>
      <c r="G84" s="316"/>
      <c r="H84" s="316"/>
      <c r="I84" s="316"/>
      <c r="J84" s="316"/>
      <c r="K84" s="316"/>
      <c r="L84" s="316"/>
      <c r="M84" s="316"/>
      <c r="N84" s="316"/>
      <c r="O84" s="219">
        <f t="shared" ref="O84:O85" si="14">SUM(B84:N84)</f>
        <v>0</v>
      </c>
      <c r="P84" s="317"/>
      <c r="Q84" s="224">
        <f t="shared" ref="Q84:Q85" si="15">O84-P84</f>
        <v>0</v>
      </c>
    </row>
    <row r="85" spans="1:17" ht="15" customHeight="1" x14ac:dyDescent="0.25">
      <c r="A85" s="224">
        <v>-6000</v>
      </c>
      <c r="B85" s="316"/>
      <c r="C85" s="316"/>
      <c r="D85" s="316"/>
      <c r="E85" s="316"/>
      <c r="F85" s="316" t="s">
        <v>67</v>
      </c>
      <c r="G85" s="316"/>
      <c r="H85" s="316"/>
      <c r="I85" s="316"/>
      <c r="J85" s="316"/>
      <c r="K85" s="316"/>
      <c r="L85" s="316"/>
      <c r="M85" s="316"/>
      <c r="N85" s="316"/>
      <c r="O85" s="219">
        <f t="shared" si="14"/>
        <v>0</v>
      </c>
      <c r="P85" s="317"/>
      <c r="Q85" s="224">
        <f t="shared" si="15"/>
        <v>0</v>
      </c>
    </row>
    <row r="86" spans="1:17" ht="15" customHeight="1" x14ac:dyDescent="0.25"/>
    <row r="87" spans="1:17" ht="15" customHeight="1" x14ac:dyDescent="0.25"/>
    <row r="88" spans="1:17" ht="12.75" customHeight="1" thickBot="1" x14ac:dyDescent="0.35">
      <c r="A88" s="141" t="s">
        <v>405</v>
      </c>
      <c r="B88" s="112"/>
      <c r="C88" s="220"/>
      <c r="D88" s="112"/>
      <c r="E88" s="220"/>
      <c r="F88" s="112"/>
      <c r="G88" s="112"/>
      <c r="H88" s="141"/>
      <c r="I88" s="112"/>
      <c r="P88" s="137"/>
    </row>
    <row r="89" spans="1:17" ht="12.75" customHeight="1" x14ac:dyDescent="0.25">
      <c r="C89" s="215"/>
      <c r="E89" s="215"/>
      <c r="P89" s="137"/>
    </row>
    <row r="90" spans="1:17" x14ac:dyDescent="0.25">
      <c r="A90" s="137"/>
      <c r="B90" s="137" t="s">
        <v>252</v>
      </c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</row>
    <row r="91" spans="1:17" x14ac:dyDescent="0.25">
      <c r="A91" s="217" t="s">
        <v>49</v>
      </c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17" t="s">
        <v>253</v>
      </c>
      <c r="P91" s="217" t="s">
        <v>254</v>
      </c>
      <c r="Q91" s="217" t="s">
        <v>255</v>
      </c>
    </row>
    <row r="92" spans="1:17" x14ac:dyDescent="0.25">
      <c r="A92" s="224" t="s">
        <v>403</v>
      </c>
      <c r="B92" s="316"/>
      <c r="C92" s="316"/>
      <c r="D92" s="316"/>
      <c r="E92" s="316"/>
      <c r="F92" s="316" t="s">
        <v>67</v>
      </c>
      <c r="G92" s="316"/>
      <c r="H92" s="316"/>
      <c r="I92" s="316"/>
      <c r="J92" s="316"/>
      <c r="K92" s="316"/>
      <c r="L92" s="316"/>
      <c r="M92" s="316"/>
      <c r="N92" s="316"/>
      <c r="O92" s="219">
        <f>SUM(B92:N92)</f>
        <v>0</v>
      </c>
      <c r="P92" s="317"/>
      <c r="Q92" s="219">
        <f>O92-P92</f>
        <v>0</v>
      </c>
    </row>
    <row r="93" spans="1:17" x14ac:dyDescent="0.25">
      <c r="A93" s="224" t="s">
        <v>404</v>
      </c>
      <c r="B93" s="316"/>
      <c r="C93" s="316"/>
      <c r="D93" s="316"/>
      <c r="E93" s="316"/>
      <c r="F93" s="316" t="s">
        <v>67</v>
      </c>
      <c r="G93" s="316"/>
      <c r="H93" s="316"/>
      <c r="I93" s="316"/>
      <c r="J93" s="316"/>
      <c r="K93" s="316"/>
      <c r="L93" s="316"/>
      <c r="M93" s="316"/>
      <c r="N93" s="316"/>
      <c r="O93" s="219">
        <f>SUM(B93:N93)</f>
        <v>0</v>
      </c>
      <c r="P93" s="317"/>
      <c r="Q93" s="219">
        <f>O93-P93</f>
        <v>0</v>
      </c>
    </row>
    <row r="96" spans="1:17" ht="13.5" thickBot="1" x14ac:dyDescent="0.35">
      <c r="A96" s="141" t="s">
        <v>416</v>
      </c>
      <c r="B96" s="112"/>
      <c r="C96" s="112"/>
      <c r="D96" s="112"/>
      <c r="E96" s="112"/>
      <c r="F96" s="112"/>
      <c r="G96" s="112"/>
      <c r="H96" s="112"/>
      <c r="I96" s="112"/>
    </row>
    <row r="97" spans="1:17" x14ac:dyDescent="0.25">
      <c r="B97" s="109" t="s">
        <v>252</v>
      </c>
    </row>
    <row r="98" spans="1:17" x14ac:dyDescent="0.25">
      <c r="A98" s="107" t="s">
        <v>417</v>
      </c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99" t="s">
        <v>253</v>
      </c>
      <c r="P98" s="101" t="s">
        <v>254</v>
      </c>
      <c r="Q98" s="99" t="s">
        <v>255</v>
      </c>
    </row>
    <row r="99" spans="1:17" x14ac:dyDescent="0.25">
      <c r="A99" s="107" t="s">
        <v>158</v>
      </c>
      <c r="B99" s="307"/>
      <c r="C99" s="307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102">
        <f>SUM(B99:N99)</f>
        <v>0</v>
      </c>
      <c r="P99" s="309"/>
      <c r="Q99" s="102">
        <f>O99-P99</f>
        <v>0</v>
      </c>
    </row>
  </sheetData>
  <sheetProtection algorithmName="SHA-512" hashValue="uzW5I1Cok0UKjAi5qLoeKyNkOTssV0crkSNB8HWzE0iwyTjpq+yN0IyH7wpXHYNuRrMKFS4QTqC6Mv8mg8cE8A==" saltValue="19xg8SMYX45j6IwMn7IXIA==" spinCount="100000" sheet="1"/>
  <mergeCells count="1">
    <mergeCell ref="A9:E9"/>
  </mergeCells>
  <phoneticPr fontId="0" type="noConversion"/>
  <hyperlinks>
    <hyperlink ref="N2" location="Etusivu!A1" tooltip="Tästä pääset etusivulle" display="Etusivu" xr:uid="{00000000-0004-0000-0500-000000000000}"/>
    <hyperlink ref="P2" location="Etusivu!A392" tooltip="Tästä pääset laittamaan olosuhde/haittalisät" display="Haittalisä" xr:uid="{00000000-0004-0000-0500-000001000000}"/>
  </hyperlinks>
  <pageMargins left="0.59055118110236227" right="0.59055118110236227" top="0.51181102362204722" bottom="0.51181102362204722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47"/>
  <sheetViews>
    <sheetView workbookViewId="0">
      <selection activeCell="N3" sqref="N3"/>
    </sheetView>
  </sheetViews>
  <sheetFormatPr defaultColWidth="9.1796875" defaultRowHeight="12.5" x14ac:dyDescent="0.25"/>
  <cols>
    <col min="1" max="1" width="10.1796875" style="109" customWidth="1"/>
    <col min="2" max="15" width="7.26953125" style="109" customWidth="1"/>
    <col min="16" max="16" width="9.453125" style="109" customWidth="1"/>
    <col min="17" max="17" width="7.26953125" style="109" customWidth="1"/>
    <col min="18" max="18" width="7.453125" style="109" customWidth="1"/>
    <col min="19" max="22" width="7.26953125" style="109" customWidth="1"/>
    <col min="23" max="23" width="7.453125" style="109" customWidth="1"/>
    <col min="24" max="26" width="7.26953125" style="109" customWidth="1"/>
    <col min="27" max="16384" width="9.1796875" style="109"/>
  </cols>
  <sheetData>
    <row r="1" spans="1:17" ht="12.75" customHeight="1" x14ac:dyDescent="0.25"/>
    <row r="2" spans="1:17" ht="15.75" customHeight="1" x14ac:dyDescent="0.35">
      <c r="A2" s="138" t="s">
        <v>285</v>
      </c>
      <c r="B2" s="138"/>
      <c r="C2" s="138"/>
      <c r="D2" s="138"/>
    </row>
    <row r="3" spans="1:17" x14ac:dyDescent="0.25">
      <c r="N3" s="326" t="s">
        <v>234</v>
      </c>
      <c r="P3" s="326" t="s">
        <v>299</v>
      </c>
    </row>
    <row r="5" spans="1:17" ht="13" thickBot="1" x14ac:dyDescent="0.3">
      <c r="A5" s="135" t="s">
        <v>286</v>
      </c>
      <c r="B5" s="136"/>
      <c r="C5" s="136"/>
      <c r="D5" s="136"/>
      <c r="E5" s="136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</row>
    <row r="6" spans="1:17" x14ac:dyDescent="0.25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</row>
    <row r="7" spans="1:17" x14ac:dyDescent="0.25">
      <c r="A7" s="137"/>
      <c r="B7" s="137" t="s">
        <v>252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</row>
    <row r="8" spans="1:17" x14ac:dyDescent="0.25">
      <c r="A8" s="219" t="s">
        <v>51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17" t="s">
        <v>253</v>
      </c>
      <c r="P8" s="217" t="s">
        <v>254</v>
      </c>
      <c r="Q8" s="217" t="s">
        <v>255</v>
      </c>
    </row>
    <row r="9" spans="1:17" x14ac:dyDescent="0.25">
      <c r="A9" s="228" t="s">
        <v>15</v>
      </c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19">
        <f>SUM(B9:N9)</f>
        <v>0</v>
      </c>
      <c r="P9" s="223"/>
      <c r="Q9" s="219">
        <f>O9-P9</f>
        <v>0</v>
      </c>
    </row>
    <row r="10" spans="1:17" x14ac:dyDescent="0.25">
      <c r="A10" s="228" t="s">
        <v>16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19">
        <f>SUM(B10:N10)</f>
        <v>0</v>
      </c>
      <c r="P10" s="223"/>
      <c r="Q10" s="219">
        <f>O10-P10</f>
        <v>0</v>
      </c>
    </row>
    <row r="11" spans="1:17" x14ac:dyDescent="0.25">
      <c r="A11" s="228" t="s">
        <v>17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19">
        <f>SUM(B11:N11)</f>
        <v>0</v>
      </c>
      <c r="P11" s="223"/>
      <c r="Q11" s="219">
        <f>O11-P11</f>
        <v>0</v>
      </c>
    </row>
    <row r="12" spans="1:17" x14ac:dyDescent="0.25">
      <c r="A12" s="228" t="s">
        <v>18</v>
      </c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19">
        <f>SUM(B12:N12)</f>
        <v>0</v>
      </c>
      <c r="P12" s="223"/>
      <c r="Q12" s="219">
        <f>O12-P12</f>
        <v>0</v>
      </c>
    </row>
    <row r="13" spans="1:17" x14ac:dyDescent="0.25">
      <c r="A13" s="228" t="s">
        <v>296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19">
        <f>SUM(B13:N13)</f>
        <v>0</v>
      </c>
      <c r="P13" s="223"/>
      <c r="Q13" s="219">
        <f>O13-P13</f>
        <v>0</v>
      </c>
    </row>
    <row r="16" spans="1:17" ht="13" thickBot="1" x14ac:dyDescent="0.3">
      <c r="A16" s="135" t="s">
        <v>287</v>
      </c>
      <c r="B16" s="136"/>
      <c r="C16" s="136"/>
      <c r="D16" s="136"/>
      <c r="E16" s="136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</row>
    <row r="17" spans="1:17" x14ac:dyDescent="0.25">
      <c r="A17" s="137"/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</row>
    <row r="18" spans="1:17" x14ac:dyDescent="0.25">
      <c r="A18" s="137"/>
      <c r="B18" s="137" t="s">
        <v>252</v>
      </c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</row>
    <row r="19" spans="1:17" x14ac:dyDescent="0.25">
      <c r="A19" s="219" t="s">
        <v>51</v>
      </c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17" t="s">
        <v>253</v>
      </c>
      <c r="P19" s="217" t="s">
        <v>254</v>
      </c>
      <c r="Q19" s="217" t="s">
        <v>255</v>
      </c>
    </row>
    <row r="20" spans="1:17" x14ac:dyDescent="0.25">
      <c r="A20" s="228" t="s">
        <v>15</v>
      </c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19">
        <f>SUM(B20:N20)</f>
        <v>0</v>
      </c>
      <c r="P20" s="223"/>
      <c r="Q20" s="219">
        <f>O20-P20</f>
        <v>0</v>
      </c>
    </row>
    <row r="21" spans="1:17" x14ac:dyDescent="0.25">
      <c r="A21" s="228" t="s">
        <v>16</v>
      </c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19">
        <f>SUM(B21:N21)</f>
        <v>0</v>
      </c>
      <c r="P21" s="223"/>
      <c r="Q21" s="219">
        <f>O21-P21</f>
        <v>0</v>
      </c>
    </row>
    <row r="22" spans="1:17" x14ac:dyDescent="0.25">
      <c r="A22" s="228" t="s">
        <v>17</v>
      </c>
      <c r="B22" s="222"/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19">
        <f>SUM(B22:N22)</f>
        <v>0</v>
      </c>
      <c r="P22" s="223"/>
      <c r="Q22" s="219">
        <f>O22-P22</f>
        <v>0</v>
      </c>
    </row>
    <row r="23" spans="1:17" x14ac:dyDescent="0.25">
      <c r="A23" s="228" t="s">
        <v>18</v>
      </c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19">
        <f>SUM(B23:N23)</f>
        <v>0</v>
      </c>
      <c r="P23" s="223"/>
      <c r="Q23" s="219">
        <f>O23-P23</f>
        <v>0</v>
      </c>
    </row>
    <row r="24" spans="1:17" x14ac:dyDescent="0.25">
      <c r="A24" s="228" t="s">
        <v>296</v>
      </c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19">
        <f>SUM(B24:N24)</f>
        <v>0</v>
      </c>
      <c r="P24" s="223"/>
      <c r="Q24" s="219">
        <f>O24-P24</f>
        <v>0</v>
      </c>
    </row>
    <row r="27" spans="1:17" ht="13" thickBot="1" x14ac:dyDescent="0.3">
      <c r="A27" s="135" t="s">
        <v>288</v>
      </c>
      <c r="B27" s="136"/>
      <c r="C27" s="136"/>
      <c r="D27" s="136"/>
      <c r="E27" s="137"/>
      <c r="F27" s="137"/>
      <c r="G27" s="137"/>
      <c r="H27" s="137"/>
      <c r="I27" s="137"/>
      <c r="J27" s="137"/>
      <c r="K27" s="137"/>
      <c r="L27" s="137"/>
      <c r="M27" s="137"/>
      <c r="N27" s="326" t="s">
        <v>234</v>
      </c>
      <c r="O27" s="137"/>
      <c r="P27" s="326" t="s">
        <v>299</v>
      </c>
      <c r="Q27" s="137"/>
    </row>
    <row r="28" spans="1:17" x14ac:dyDescent="0.2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</row>
    <row r="29" spans="1:17" x14ac:dyDescent="0.25">
      <c r="A29" s="137"/>
      <c r="B29" s="137" t="s">
        <v>252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</row>
    <row r="30" spans="1:17" x14ac:dyDescent="0.25">
      <c r="A30" s="219" t="s">
        <v>51</v>
      </c>
      <c r="B30" s="221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17" t="s">
        <v>253</v>
      </c>
      <c r="P30" s="217" t="s">
        <v>254</v>
      </c>
      <c r="Q30" s="217" t="s">
        <v>255</v>
      </c>
    </row>
    <row r="31" spans="1:17" x14ac:dyDescent="0.25">
      <c r="A31" s="228" t="s">
        <v>15</v>
      </c>
      <c r="B31" s="316"/>
      <c r="C31" s="316"/>
      <c r="D31" s="316"/>
      <c r="E31" s="316"/>
      <c r="F31" s="316"/>
      <c r="G31" s="316"/>
      <c r="H31" s="316"/>
      <c r="I31" s="316"/>
      <c r="J31" s="316"/>
      <c r="K31" s="316"/>
      <c r="L31" s="316"/>
      <c r="M31" s="316"/>
      <c r="N31" s="316"/>
      <c r="O31" s="219">
        <f>SUM(B31:N31)</f>
        <v>0</v>
      </c>
      <c r="P31" s="317"/>
      <c r="Q31" s="219">
        <f>O31-P31</f>
        <v>0</v>
      </c>
    </row>
    <row r="32" spans="1:17" x14ac:dyDescent="0.25">
      <c r="A32" s="228" t="s">
        <v>16</v>
      </c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219">
        <f>SUM(B32:N32)</f>
        <v>0</v>
      </c>
      <c r="P32" s="317"/>
      <c r="Q32" s="219">
        <f>O32-P32</f>
        <v>0</v>
      </c>
    </row>
    <row r="33" spans="1:17" x14ac:dyDescent="0.25">
      <c r="A33" s="228" t="s">
        <v>17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  <c r="O33" s="219">
        <f>SUM(B33:N33)</f>
        <v>0</v>
      </c>
      <c r="P33" s="317"/>
      <c r="Q33" s="219">
        <f>O33-P33</f>
        <v>0</v>
      </c>
    </row>
    <row r="34" spans="1:17" x14ac:dyDescent="0.25">
      <c r="A34" s="228" t="s">
        <v>18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  <c r="O34" s="219">
        <f>SUM(B34:N34)</f>
        <v>0</v>
      </c>
      <c r="P34" s="317"/>
      <c r="Q34" s="219">
        <f>O34-P34</f>
        <v>0</v>
      </c>
    </row>
    <row r="35" spans="1:17" x14ac:dyDescent="0.25">
      <c r="A35" s="228" t="s">
        <v>296</v>
      </c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219">
        <f>SUM(B35:N35)</f>
        <v>0</v>
      </c>
      <c r="P35" s="317"/>
      <c r="Q35" s="219">
        <f>O35-P35</f>
        <v>0</v>
      </c>
    </row>
    <row r="40" spans="1:17" ht="13" thickBot="1" x14ac:dyDescent="0.3">
      <c r="A40" s="135" t="s">
        <v>289</v>
      </c>
      <c r="B40" s="136"/>
      <c r="C40" s="136"/>
      <c r="D40" s="136"/>
      <c r="E40" s="136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</row>
    <row r="41" spans="1:17" x14ac:dyDescent="0.25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</row>
    <row r="42" spans="1:17" x14ac:dyDescent="0.25">
      <c r="A42" s="137"/>
      <c r="B42" s="137" t="s">
        <v>252</v>
      </c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</row>
    <row r="43" spans="1:17" x14ac:dyDescent="0.25">
      <c r="A43" s="219" t="s">
        <v>51</v>
      </c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17" t="s">
        <v>253</v>
      </c>
      <c r="P43" s="217" t="s">
        <v>254</v>
      </c>
      <c r="Q43" s="217" t="s">
        <v>255</v>
      </c>
    </row>
    <row r="44" spans="1:17" x14ac:dyDescent="0.25">
      <c r="A44" s="228" t="s">
        <v>15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219">
        <f>SUM(B44:N44)</f>
        <v>0</v>
      </c>
      <c r="P44" s="317"/>
      <c r="Q44" s="219">
        <f>O44-P44</f>
        <v>0</v>
      </c>
    </row>
    <row r="45" spans="1:17" x14ac:dyDescent="0.25">
      <c r="A45" s="228" t="s">
        <v>16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219">
        <f>SUM(B45:N45)</f>
        <v>0</v>
      </c>
      <c r="P45" s="317"/>
      <c r="Q45" s="219">
        <f>O45-P45</f>
        <v>0</v>
      </c>
    </row>
    <row r="46" spans="1:17" x14ac:dyDescent="0.25">
      <c r="A46" s="228" t="s">
        <v>17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219">
        <f>SUM(B46:N46)</f>
        <v>0</v>
      </c>
      <c r="P46" s="317"/>
      <c r="Q46" s="219">
        <f>O46-P46</f>
        <v>0</v>
      </c>
    </row>
    <row r="47" spans="1:17" x14ac:dyDescent="0.25">
      <c r="A47" s="228" t="s">
        <v>18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219">
        <f>SUM(B47:N47)</f>
        <v>0</v>
      </c>
      <c r="P47" s="317"/>
      <c r="Q47" s="219">
        <f>O47-P47</f>
        <v>0</v>
      </c>
    </row>
    <row r="48" spans="1:17" x14ac:dyDescent="0.25">
      <c r="A48" s="228" t="s">
        <v>296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219">
        <f>SUM(B48:N48)</f>
        <v>0</v>
      </c>
      <c r="P48" s="317"/>
      <c r="Q48" s="219">
        <f>O48-P48</f>
        <v>0</v>
      </c>
    </row>
    <row r="49" spans="1:17" x14ac:dyDescent="0.25">
      <c r="A49" s="132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33"/>
      <c r="P49" s="134"/>
      <c r="Q49" s="133"/>
    </row>
    <row r="50" spans="1:17" x14ac:dyDescent="0.25">
      <c r="A50" s="132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33"/>
      <c r="P50" s="134"/>
      <c r="Q50" s="133"/>
    </row>
    <row r="52" spans="1:17" ht="13" thickBot="1" x14ac:dyDescent="0.3">
      <c r="A52" s="135" t="s">
        <v>290</v>
      </c>
      <c r="B52" s="136"/>
      <c r="C52" s="136"/>
      <c r="D52" s="136"/>
      <c r="E52" s="136"/>
      <c r="F52" s="137"/>
      <c r="G52" s="137"/>
      <c r="H52" s="137"/>
      <c r="I52" s="137"/>
      <c r="J52" s="137"/>
      <c r="K52" s="137"/>
      <c r="L52" s="137"/>
      <c r="M52" s="137"/>
      <c r="N52" s="326" t="s">
        <v>234</v>
      </c>
      <c r="O52" s="137"/>
      <c r="P52" s="326" t="s">
        <v>299</v>
      </c>
      <c r="Q52" s="137"/>
    </row>
    <row r="53" spans="1:17" x14ac:dyDescent="0.25">
      <c r="A53" s="137"/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</row>
    <row r="54" spans="1:17" x14ac:dyDescent="0.25">
      <c r="A54" s="137"/>
      <c r="B54" s="137" t="s">
        <v>252</v>
      </c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</row>
    <row r="55" spans="1:17" x14ac:dyDescent="0.25">
      <c r="A55" s="219" t="s">
        <v>51</v>
      </c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17" t="s">
        <v>253</v>
      </c>
      <c r="P55" s="217" t="s">
        <v>254</v>
      </c>
      <c r="Q55" s="217" t="s">
        <v>255</v>
      </c>
    </row>
    <row r="56" spans="1:17" x14ac:dyDescent="0.25">
      <c r="A56" s="228" t="s">
        <v>15</v>
      </c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219">
        <f>SUM(B56:N56)</f>
        <v>0</v>
      </c>
      <c r="P56" s="317"/>
      <c r="Q56" s="219">
        <f>O56-P56</f>
        <v>0</v>
      </c>
    </row>
    <row r="57" spans="1:17" x14ac:dyDescent="0.25">
      <c r="A57" s="228" t="s">
        <v>16</v>
      </c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219">
        <f>SUM(B57:N57)</f>
        <v>0</v>
      </c>
      <c r="P57" s="317"/>
      <c r="Q57" s="219">
        <f>O57-P57</f>
        <v>0</v>
      </c>
    </row>
    <row r="58" spans="1:17" x14ac:dyDescent="0.25">
      <c r="A58" s="228" t="s">
        <v>17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219">
        <f>SUM(B58:N58)</f>
        <v>0</v>
      </c>
      <c r="P58" s="317"/>
      <c r="Q58" s="219">
        <f>O58-P58</f>
        <v>0</v>
      </c>
    </row>
    <row r="59" spans="1:17" x14ac:dyDescent="0.25">
      <c r="A59" s="228" t="s">
        <v>18</v>
      </c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219">
        <f>SUM(B59:N59)</f>
        <v>0</v>
      </c>
      <c r="P59" s="317"/>
      <c r="Q59" s="219">
        <f>O59-P59</f>
        <v>0</v>
      </c>
    </row>
    <row r="60" spans="1:17" x14ac:dyDescent="0.25">
      <c r="A60" s="228" t="s">
        <v>296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219">
        <f>SUM(B60:N60)</f>
        <v>0</v>
      </c>
      <c r="P60" s="317"/>
      <c r="Q60" s="219">
        <f>O60-P60</f>
        <v>0</v>
      </c>
    </row>
    <row r="61" spans="1:17" x14ac:dyDescent="0.25">
      <c r="A61" s="132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33"/>
      <c r="P61" s="134"/>
      <c r="Q61" s="133"/>
    </row>
    <row r="64" spans="1:17" ht="13" thickBot="1" x14ac:dyDescent="0.3">
      <c r="A64" s="135" t="s">
        <v>291</v>
      </c>
      <c r="B64" s="136"/>
      <c r="C64" s="136"/>
      <c r="D64" s="136"/>
      <c r="E64" s="136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</row>
    <row r="65" spans="1:17" x14ac:dyDescent="0.25">
      <c r="A65" s="137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</row>
    <row r="66" spans="1:17" x14ac:dyDescent="0.25">
      <c r="A66" s="137"/>
      <c r="B66" s="137" t="s">
        <v>252</v>
      </c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</row>
    <row r="67" spans="1:17" x14ac:dyDescent="0.25">
      <c r="A67" s="219" t="s">
        <v>51</v>
      </c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17" t="s">
        <v>253</v>
      </c>
      <c r="P67" s="217" t="s">
        <v>254</v>
      </c>
      <c r="Q67" s="217" t="s">
        <v>255</v>
      </c>
    </row>
    <row r="68" spans="1:17" x14ac:dyDescent="0.25">
      <c r="A68" s="228" t="s">
        <v>15</v>
      </c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219">
        <f>SUM(B68:N68)</f>
        <v>0</v>
      </c>
      <c r="P68" s="317"/>
      <c r="Q68" s="219">
        <f>O68-P68</f>
        <v>0</v>
      </c>
    </row>
    <row r="69" spans="1:17" x14ac:dyDescent="0.25">
      <c r="A69" s="228" t="s">
        <v>16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219">
        <f>SUM(B69:N69)</f>
        <v>0</v>
      </c>
      <c r="P69" s="317"/>
      <c r="Q69" s="219">
        <f>O69-P69</f>
        <v>0</v>
      </c>
    </row>
    <row r="70" spans="1:17" x14ac:dyDescent="0.25">
      <c r="A70" s="228" t="s">
        <v>17</v>
      </c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219">
        <f>SUM(B70:N70)</f>
        <v>0</v>
      </c>
      <c r="P70" s="317"/>
      <c r="Q70" s="219">
        <f>O70-P70</f>
        <v>0</v>
      </c>
    </row>
    <row r="71" spans="1:17" x14ac:dyDescent="0.25">
      <c r="A71" s="228" t="s">
        <v>18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219">
        <f>SUM(B71:N71)</f>
        <v>0</v>
      </c>
      <c r="P71" s="317"/>
      <c r="Q71" s="219">
        <f>O71-P71</f>
        <v>0</v>
      </c>
    </row>
    <row r="72" spans="1:17" x14ac:dyDescent="0.25">
      <c r="A72" s="228" t="s">
        <v>296</v>
      </c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219">
        <f>SUM(B72:N72)</f>
        <v>0</v>
      </c>
      <c r="P72" s="317"/>
      <c r="Q72" s="219">
        <f>O72-P72</f>
        <v>0</v>
      </c>
    </row>
    <row r="73" spans="1:17" x14ac:dyDescent="0.25">
      <c r="A73" s="132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33"/>
      <c r="P73" s="134"/>
      <c r="Q73" s="133"/>
    </row>
    <row r="74" spans="1:17" x14ac:dyDescent="0.25">
      <c r="A74" s="132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33"/>
      <c r="P74" s="134"/>
      <c r="Q74" s="133"/>
    </row>
    <row r="75" spans="1:17" x14ac:dyDescent="0.25">
      <c r="A75" s="132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33"/>
      <c r="P75" s="134"/>
      <c r="Q75" s="133"/>
    </row>
    <row r="76" spans="1:17" x14ac:dyDescent="0.25">
      <c r="A76" s="132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33"/>
      <c r="P76" s="134"/>
      <c r="Q76" s="133"/>
    </row>
    <row r="77" spans="1:17" x14ac:dyDescent="0.25">
      <c r="A77" s="132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33"/>
      <c r="P77" s="134"/>
      <c r="Q77" s="133"/>
    </row>
    <row r="78" spans="1:17" ht="13" thickBot="1" x14ac:dyDescent="0.3">
      <c r="A78" s="135" t="s">
        <v>292</v>
      </c>
      <c r="B78" s="136"/>
      <c r="C78" s="136"/>
      <c r="D78" s="136"/>
      <c r="E78" s="136"/>
      <c r="F78" s="137"/>
      <c r="G78" s="137"/>
      <c r="H78" s="137"/>
      <c r="I78" s="137"/>
      <c r="J78" s="137"/>
      <c r="K78" s="137"/>
      <c r="L78" s="137"/>
      <c r="M78" s="137"/>
      <c r="N78" s="326" t="s">
        <v>234</v>
      </c>
      <c r="O78" s="137"/>
      <c r="P78" s="326" t="s">
        <v>299</v>
      </c>
      <c r="Q78" s="137"/>
    </row>
    <row r="79" spans="1:17" x14ac:dyDescent="0.25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</row>
    <row r="80" spans="1:17" x14ac:dyDescent="0.25">
      <c r="A80" s="137"/>
      <c r="B80" s="137" t="s">
        <v>252</v>
      </c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</row>
    <row r="81" spans="1:17" x14ac:dyDescent="0.25">
      <c r="A81" s="219" t="s">
        <v>51</v>
      </c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17" t="s">
        <v>253</v>
      </c>
      <c r="P81" s="217" t="s">
        <v>254</v>
      </c>
      <c r="Q81" s="217" t="s">
        <v>255</v>
      </c>
    </row>
    <row r="82" spans="1:17" x14ac:dyDescent="0.25">
      <c r="A82" s="228" t="s">
        <v>15</v>
      </c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219">
        <f>SUM(B82:N82)</f>
        <v>0</v>
      </c>
      <c r="P82" s="317"/>
      <c r="Q82" s="219">
        <f>O82-P82</f>
        <v>0</v>
      </c>
    </row>
    <row r="83" spans="1:17" x14ac:dyDescent="0.25">
      <c r="A83" s="228" t="s">
        <v>16</v>
      </c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  <c r="O83" s="219">
        <f>SUM(B83:N83)</f>
        <v>0</v>
      </c>
      <c r="P83" s="317"/>
      <c r="Q83" s="219">
        <f>O83-P83</f>
        <v>0</v>
      </c>
    </row>
    <row r="84" spans="1:17" x14ac:dyDescent="0.25">
      <c r="A84" s="228" t="s">
        <v>17</v>
      </c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  <c r="O84" s="219">
        <f>SUM(B84:N84)</f>
        <v>0</v>
      </c>
      <c r="P84" s="317"/>
      <c r="Q84" s="219">
        <f>O84-P84</f>
        <v>0</v>
      </c>
    </row>
    <row r="85" spans="1:17" x14ac:dyDescent="0.25">
      <c r="A85" s="228" t="s">
        <v>18</v>
      </c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  <c r="O85" s="219">
        <f>SUM(B85:N85)</f>
        <v>0</v>
      </c>
      <c r="P85" s="317"/>
      <c r="Q85" s="219">
        <f>O85-P85</f>
        <v>0</v>
      </c>
    </row>
    <row r="86" spans="1:17" x14ac:dyDescent="0.25">
      <c r="A86" s="228" t="s">
        <v>296</v>
      </c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  <c r="O86" s="219">
        <f>SUM(B86:N86)</f>
        <v>0</v>
      </c>
      <c r="P86" s="317"/>
      <c r="Q86" s="219">
        <f>O86-P86</f>
        <v>0</v>
      </c>
    </row>
    <row r="90" spans="1:17" ht="13" thickBot="1" x14ac:dyDescent="0.3">
      <c r="A90" s="135" t="s">
        <v>293</v>
      </c>
      <c r="B90" s="136"/>
      <c r="C90" s="136"/>
      <c r="D90" s="136"/>
      <c r="E90" s="136"/>
      <c r="F90" s="136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</row>
    <row r="91" spans="1:17" x14ac:dyDescent="0.2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</row>
    <row r="92" spans="1:17" x14ac:dyDescent="0.25">
      <c r="A92" s="137"/>
      <c r="B92" s="137" t="s">
        <v>252</v>
      </c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</row>
    <row r="93" spans="1:17" x14ac:dyDescent="0.25">
      <c r="A93" s="219" t="s">
        <v>51</v>
      </c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17" t="s">
        <v>253</v>
      </c>
      <c r="P93" s="217" t="s">
        <v>254</v>
      </c>
      <c r="Q93" s="217" t="s">
        <v>255</v>
      </c>
    </row>
    <row r="94" spans="1:17" x14ac:dyDescent="0.25">
      <c r="A94" s="228" t="s">
        <v>15</v>
      </c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  <c r="O94" s="219">
        <f>SUM(B94:N94)</f>
        <v>0</v>
      </c>
      <c r="P94" s="317"/>
      <c r="Q94" s="219">
        <f>O94-P94</f>
        <v>0</v>
      </c>
    </row>
    <row r="95" spans="1:17" x14ac:dyDescent="0.25">
      <c r="A95" s="228" t="s">
        <v>16</v>
      </c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219">
        <f>SUM(B95:N95)</f>
        <v>0</v>
      </c>
      <c r="P95" s="317"/>
      <c r="Q95" s="219">
        <f>O95-P95</f>
        <v>0</v>
      </c>
    </row>
    <row r="96" spans="1:17" x14ac:dyDescent="0.25">
      <c r="A96" s="228" t="s">
        <v>17</v>
      </c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  <c r="O96" s="219">
        <f>SUM(B96:N96)</f>
        <v>0</v>
      </c>
      <c r="P96" s="317"/>
      <c r="Q96" s="219">
        <f>O96-P96</f>
        <v>0</v>
      </c>
    </row>
    <row r="97" spans="1:17" x14ac:dyDescent="0.25">
      <c r="A97" s="228" t="s">
        <v>18</v>
      </c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  <c r="O97" s="219">
        <f>SUM(B97:N97)</f>
        <v>0</v>
      </c>
      <c r="P97" s="317"/>
      <c r="Q97" s="219">
        <f>O97-P97</f>
        <v>0</v>
      </c>
    </row>
    <row r="98" spans="1:17" x14ac:dyDescent="0.25">
      <c r="A98" s="228" t="s">
        <v>296</v>
      </c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  <c r="O98" s="219">
        <f>SUM(B98:N98)</f>
        <v>0</v>
      </c>
      <c r="P98" s="317"/>
      <c r="Q98" s="219">
        <f>O98-P98</f>
        <v>0</v>
      </c>
    </row>
    <row r="102" spans="1:17" ht="13" thickBot="1" x14ac:dyDescent="0.3">
      <c r="A102" s="135" t="s">
        <v>294</v>
      </c>
      <c r="B102" s="136"/>
      <c r="C102" s="136"/>
      <c r="D102" s="136"/>
      <c r="E102" s="136"/>
      <c r="F102" s="137"/>
      <c r="G102" s="137"/>
      <c r="H102" s="137"/>
      <c r="I102" s="137"/>
      <c r="J102" s="137"/>
      <c r="K102" s="137"/>
      <c r="L102" s="137"/>
      <c r="M102" s="137"/>
      <c r="N102" s="326" t="s">
        <v>234</v>
      </c>
      <c r="O102" s="137"/>
      <c r="P102" s="326" t="s">
        <v>299</v>
      </c>
      <c r="Q102" s="137"/>
    </row>
    <row r="103" spans="1:17" x14ac:dyDescent="0.2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</row>
    <row r="104" spans="1:17" x14ac:dyDescent="0.25">
      <c r="A104" s="137"/>
      <c r="B104" s="137" t="s">
        <v>252</v>
      </c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</row>
    <row r="105" spans="1:17" x14ac:dyDescent="0.25">
      <c r="A105" s="219" t="s">
        <v>51</v>
      </c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17" t="s">
        <v>253</v>
      </c>
      <c r="P105" s="217" t="s">
        <v>254</v>
      </c>
      <c r="Q105" s="217" t="s">
        <v>255</v>
      </c>
    </row>
    <row r="106" spans="1:17" x14ac:dyDescent="0.25">
      <c r="A106" s="228" t="s">
        <v>15</v>
      </c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219">
        <f>SUM(B106:N106)</f>
        <v>0</v>
      </c>
      <c r="P106" s="317"/>
      <c r="Q106" s="219">
        <f>O106-P106</f>
        <v>0</v>
      </c>
    </row>
    <row r="107" spans="1:17" x14ac:dyDescent="0.25">
      <c r="A107" s="228" t="s">
        <v>16</v>
      </c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219">
        <f>SUM(B107:N107)</f>
        <v>0</v>
      </c>
      <c r="P107" s="317"/>
      <c r="Q107" s="219">
        <f>O107-P107</f>
        <v>0</v>
      </c>
    </row>
    <row r="108" spans="1:17" x14ac:dyDescent="0.25">
      <c r="A108" s="228" t="s">
        <v>17</v>
      </c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219">
        <f>SUM(B108:N108)</f>
        <v>0</v>
      </c>
      <c r="P108" s="317"/>
      <c r="Q108" s="219">
        <f>O108-P108</f>
        <v>0</v>
      </c>
    </row>
    <row r="109" spans="1:17" x14ac:dyDescent="0.25">
      <c r="A109" s="228" t="s">
        <v>18</v>
      </c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219">
        <f>SUM(B109:N109)</f>
        <v>0</v>
      </c>
      <c r="P109" s="317"/>
      <c r="Q109" s="219">
        <f>O109-P109</f>
        <v>0</v>
      </c>
    </row>
    <row r="110" spans="1:17" x14ac:dyDescent="0.25">
      <c r="A110" s="228" t="s">
        <v>296</v>
      </c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219">
        <f>SUM(B110:N110)</f>
        <v>0</v>
      </c>
      <c r="P110" s="317"/>
      <c r="Q110" s="219">
        <f>O110-P110</f>
        <v>0</v>
      </c>
    </row>
    <row r="111" spans="1:17" x14ac:dyDescent="0.25">
      <c r="A111" s="132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33"/>
      <c r="P111" s="134"/>
      <c r="Q111" s="133"/>
    </row>
    <row r="112" spans="1:17" x14ac:dyDescent="0.25">
      <c r="A112" s="132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33"/>
      <c r="P112" s="134"/>
      <c r="Q112" s="133"/>
    </row>
    <row r="113" spans="1:17" x14ac:dyDescent="0.25">
      <c r="A113" s="132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33"/>
      <c r="P113" s="134"/>
      <c r="Q113" s="133"/>
    </row>
    <row r="114" spans="1:17" x14ac:dyDescent="0.25">
      <c r="A114" s="132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33"/>
      <c r="P114" s="134"/>
      <c r="Q114" s="133"/>
    </row>
    <row r="117" spans="1:17" ht="13" thickBot="1" x14ac:dyDescent="0.3">
      <c r="A117" s="135" t="s">
        <v>295</v>
      </c>
      <c r="B117" s="136"/>
      <c r="C117" s="136"/>
      <c r="D117" s="136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</row>
    <row r="118" spans="1:17" x14ac:dyDescent="0.2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</row>
    <row r="119" spans="1:17" x14ac:dyDescent="0.25">
      <c r="A119" s="137"/>
      <c r="B119" s="137" t="s">
        <v>252</v>
      </c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</row>
    <row r="120" spans="1:17" x14ac:dyDescent="0.25">
      <c r="A120" s="219" t="s">
        <v>51</v>
      </c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17" t="s">
        <v>253</v>
      </c>
      <c r="P120" s="217" t="s">
        <v>254</v>
      </c>
      <c r="Q120" s="217" t="s">
        <v>255</v>
      </c>
    </row>
    <row r="121" spans="1:17" x14ac:dyDescent="0.25">
      <c r="A121" s="228" t="s">
        <v>15</v>
      </c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219">
        <f>SUM(B121:N121)</f>
        <v>0</v>
      </c>
      <c r="P121" s="317"/>
      <c r="Q121" s="219">
        <f>O121-P121</f>
        <v>0</v>
      </c>
    </row>
    <row r="122" spans="1:17" x14ac:dyDescent="0.25">
      <c r="A122" s="228" t="s">
        <v>16</v>
      </c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219">
        <f>SUM(B122:N122)</f>
        <v>0</v>
      </c>
      <c r="P122" s="317"/>
      <c r="Q122" s="219">
        <f>O122-P122</f>
        <v>0</v>
      </c>
    </row>
    <row r="123" spans="1:17" x14ac:dyDescent="0.25">
      <c r="A123" s="228" t="s">
        <v>17</v>
      </c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219">
        <f>SUM(B123:N123)</f>
        <v>0</v>
      </c>
      <c r="P123" s="317"/>
      <c r="Q123" s="219">
        <f>O123-P123</f>
        <v>0</v>
      </c>
    </row>
    <row r="124" spans="1:17" x14ac:dyDescent="0.25">
      <c r="A124" s="228" t="s">
        <v>18</v>
      </c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219">
        <f>SUM(B124:N124)</f>
        <v>0</v>
      </c>
      <c r="P124" s="317"/>
      <c r="Q124" s="219">
        <f>O124-P124</f>
        <v>0</v>
      </c>
    </row>
    <row r="125" spans="1:17" x14ac:dyDescent="0.25">
      <c r="A125" s="228" t="s">
        <v>296</v>
      </c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219">
        <f>SUM(B125:N125)</f>
        <v>0</v>
      </c>
      <c r="P125" s="317"/>
      <c r="Q125" s="219">
        <f>O125-P125</f>
        <v>0</v>
      </c>
    </row>
    <row r="129" spans="1:17" ht="13" thickBot="1" x14ac:dyDescent="0.3">
      <c r="A129" s="135" t="s">
        <v>297</v>
      </c>
      <c r="B129" s="136"/>
      <c r="C129" s="136"/>
      <c r="D129" s="136"/>
      <c r="E129" s="136"/>
      <c r="F129" s="137"/>
      <c r="G129" s="137"/>
      <c r="H129" s="137"/>
      <c r="I129" s="137"/>
      <c r="J129" s="137"/>
      <c r="K129" s="137"/>
      <c r="L129" s="137"/>
      <c r="M129" s="137"/>
      <c r="N129" s="326" t="s">
        <v>234</v>
      </c>
      <c r="O129" s="137"/>
      <c r="P129" s="326" t="s">
        <v>299</v>
      </c>
      <c r="Q129" s="137"/>
    </row>
    <row r="130" spans="1:17" x14ac:dyDescent="0.2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</row>
    <row r="131" spans="1:17" x14ac:dyDescent="0.25">
      <c r="A131" s="137"/>
      <c r="B131" s="137" t="s">
        <v>252</v>
      </c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</row>
    <row r="132" spans="1:17" x14ac:dyDescent="0.25">
      <c r="A132" s="219" t="s">
        <v>501</v>
      </c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17" t="s">
        <v>253</v>
      </c>
      <c r="P132" s="217" t="s">
        <v>254</v>
      </c>
      <c r="Q132" s="217" t="s">
        <v>255</v>
      </c>
    </row>
    <row r="133" spans="1:17" x14ac:dyDescent="0.25">
      <c r="A133" s="224">
        <v>-12</v>
      </c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  <c r="O133" s="219">
        <f>SUM(B133:N133)</f>
        <v>0</v>
      </c>
      <c r="P133" s="317"/>
      <c r="Q133" s="219">
        <f>O133-P133</f>
        <v>0</v>
      </c>
    </row>
    <row r="134" spans="1:17" x14ac:dyDescent="0.25">
      <c r="A134" s="224">
        <v>-23</v>
      </c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  <c r="O134" s="219">
        <f>SUM(B134:N134)</f>
        <v>0</v>
      </c>
      <c r="P134" s="317"/>
      <c r="Q134" s="219">
        <f>O134-P134</f>
        <v>0</v>
      </c>
    </row>
    <row r="135" spans="1:17" x14ac:dyDescent="0.25">
      <c r="A135" s="224">
        <v>-40</v>
      </c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219">
        <f>SUM(B135:N135)</f>
        <v>0</v>
      </c>
      <c r="P135" s="317"/>
      <c r="Q135" s="219">
        <f>O135-P135</f>
        <v>0</v>
      </c>
    </row>
    <row r="136" spans="1:17" x14ac:dyDescent="0.25">
      <c r="A136" s="224">
        <v>-56</v>
      </c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219">
        <f>SUM(B136:N136)</f>
        <v>0</v>
      </c>
      <c r="P136" s="317"/>
      <c r="Q136" s="219">
        <f>O136-P136</f>
        <v>0</v>
      </c>
    </row>
    <row r="137" spans="1:17" x14ac:dyDescent="0.25">
      <c r="A137" s="224">
        <v>-71</v>
      </c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219">
        <f>SUM(B137:N137)</f>
        <v>0</v>
      </c>
      <c r="P137" s="317"/>
      <c r="Q137" s="219">
        <f>O137-P137</f>
        <v>0</v>
      </c>
    </row>
    <row r="139" spans="1:17" ht="13" thickBot="1" x14ac:dyDescent="0.3">
      <c r="A139" s="135" t="s">
        <v>298</v>
      </c>
      <c r="B139" s="136"/>
      <c r="C139" s="136"/>
      <c r="D139" s="136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</row>
    <row r="140" spans="1:17" x14ac:dyDescent="0.2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</row>
    <row r="141" spans="1:17" x14ac:dyDescent="0.25">
      <c r="A141" s="137"/>
      <c r="B141" s="137" t="s">
        <v>252</v>
      </c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</row>
    <row r="142" spans="1:17" x14ac:dyDescent="0.25">
      <c r="A142" s="219" t="s">
        <v>45</v>
      </c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17" t="s">
        <v>253</v>
      </c>
      <c r="P142" s="217" t="s">
        <v>254</v>
      </c>
      <c r="Q142" s="217" t="s">
        <v>255</v>
      </c>
    </row>
    <row r="143" spans="1:17" x14ac:dyDescent="0.25">
      <c r="A143" s="224">
        <v>-12</v>
      </c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219">
        <f>SUM(B143:N143)</f>
        <v>0</v>
      </c>
      <c r="P143" s="317"/>
      <c r="Q143" s="219">
        <f>O143-P143</f>
        <v>0</v>
      </c>
    </row>
    <row r="144" spans="1:17" x14ac:dyDescent="0.25">
      <c r="A144" s="224">
        <v>-23</v>
      </c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  <c r="O144" s="219">
        <f>SUM(B144:N144)</f>
        <v>0</v>
      </c>
      <c r="P144" s="317"/>
      <c r="Q144" s="219">
        <f>O144-P144</f>
        <v>0</v>
      </c>
    </row>
    <row r="145" spans="1:17" x14ac:dyDescent="0.25">
      <c r="A145" s="224">
        <v>-40</v>
      </c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219">
        <f>SUM(B145:N145)</f>
        <v>0</v>
      </c>
      <c r="P145" s="317"/>
      <c r="Q145" s="219">
        <f>O145-P145</f>
        <v>0</v>
      </c>
    </row>
    <row r="146" spans="1:17" x14ac:dyDescent="0.25">
      <c r="A146" s="224">
        <v>-56</v>
      </c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  <c r="O146" s="219">
        <f>SUM(B146:N146)</f>
        <v>0</v>
      </c>
      <c r="P146" s="317"/>
      <c r="Q146" s="219">
        <f>O146-P146</f>
        <v>0</v>
      </c>
    </row>
    <row r="147" spans="1:17" x14ac:dyDescent="0.25">
      <c r="A147" s="224">
        <v>-71</v>
      </c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219">
        <f>SUM(B147:N147)</f>
        <v>0</v>
      </c>
      <c r="P147" s="317"/>
      <c r="Q147" s="219">
        <f>O147-P147</f>
        <v>0</v>
      </c>
    </row>
  </sheetData>
  <sheetProtection algorithmName="SHA-512" hashValue="Qd3pU4Kbt+b/sxSo0iFMP9F882ZW6Bpc6Yq7fVYRgUdPae0jxO44423aOQIs3vRjiwc7EHTS6ttkyHHd6kKIfw==" saltValue="bk4DYOjHOqIMbSebt9/y4A==" spinCount="100000" sheet="1"/>
  <hyperlinks>
    <hyperlink ref="N3" location="Etusivu!A1" tooltip="Tästä pääset etusivulle" display="Etusivu" xr:uid="{00000000-0004-0000-0600-000000000000}"/>
    <hyperlink ref="N27" location="Etusivu!A1" tooltip="Tästä pääset etusivulle" display="Etusivu" xr:uid="{00000000-0004-0000-0600-000001000000}"/>
    <hyperlink ref="N52" location="Etusivu!A1" tooltip="Tästä pääset etusivulle" display="Etusivu" xr:uid="{00000000-0004-0000-0600-000002000000}"/>
    <hyperlink ref="N78" location="Etusivu!A1" tooltip="Tästä pääset etusivulle" display="Etusivu" xr:uid="{00000000-0004-0000-0600-000003000000}"/>
    <hyperlink ref="N102" location="Etusivu!A1" tooltip="Tästä pääset etusivulle" display="Etusivu" xr:uid="{00000000-0004-0000-0600-000004000000}"/>
    <hyperlink ref="N129" location="Etusivu!A1" tooltip="Tästä pääset etusivulle" display="Etusivu" xr:uid="{00000000-0004-0000-0600-000005000000}"/>
    <hyperlink ref="P3" location="Etusivu!A392" tooltip="Tästä pääset laittamaan olosuhde/haittalisät" display="Haittalisä" xr:uid="{00000000-0004-0000-0600-000006000000}"/>
    <hyperlink ref="P27" location="Etusivu!A392" tooltip="Tästä pääset laittamaan olosuhde/haittalisät" display="Haittalisä" xr:uid="{00000000-0004-0000-0600-000007000000}"/>
    <hyperlink ref="P52" location="Etusivu!A392" tooltip="Tästä pääset laittamaan olosuhde/haittalisät" display="Haittalisä" xr:uid="{00000000-0004-0000-0600-000008000000}"/>
    <hyperlink ref="P78" location="Etusivu!A392" tooltip="Tästä pääset laittamaan olosuhde/haittalisät" display="Haittalisä" xr:uid="{00000000-0004-0000-0600-000009000000}"/>
    <hyperlink ref="P102" location="Etusivu!A392" tooltip="Tästä pääset laittamaan olosuhde/haittalisät" display="Haittalisä" xr:uid="{00000000-0004-0000-0600-00000A000000}"/>
    <hyperlink ref="P129" location="Etusivu!A392" tooltip="Tästä pääset laittamaan olosuhde/haittalisät" display="Haittalisä" xr:uid="{00000000-0004-0000-0600-00000B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O133:O137 O143:O147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41"/>
  <sheetViews>
    <sheetView workbookViewId="0">
      <selection activeCell="E19" sqref="E19"/>
    </sheetView>
  </sheetViews>
  <sheetFormatPr defaultColWidth="9.1796875" defaultRowHeight="12.5" x14ac:dyDescent="0.25"/>
  <cols>
    <col min="1" max="16384" width="9.1796875" style="109"/>
  </cols>
  <sheetData>
    <row r="1" spans="1:9" ht="31.5" customHeight="1" x14ac:dyDescent="0.35">
      <c r="A1" s="230"/>
      <c r="B1" s="231" t="s">
        <v>77</v>
      </c>
      <c r="C1" s="232"/>
      <c r="D1" s="232"/>
      <c r="E1" s="232"/>
      <c r="F1" s="232"/>
      <c r="G1" s="232"/>
      <c r="H1" s="233"/>
      <c r="I1" s="234"/>
    </row>
    <row r="2" spans="1:9" x14ac:dyDescent="0.25">
      <c r="A2" s="110"/>
      <c r="I2" s="111"/>
    </row>
    <row r="3" spans="1:9" ht="18" customHeight="1" x14ac:dyDescent="0.35">
      <c r="A3" s="235" t="s">
        <v>78</v>
      </c>
      <c r="B3" s="236"/>
      <c r="C3" s="236" t="s">
        <v>79</v>
      </c>
      <c r="D3" s="236"/>
      <c r="E3" s="236"/>
      <c r="I3" s="237"/>
    </row>
    <row r="4" spans="1:9" ht="18" customHeight="1" x14ac:dyDescent="0.35">
      <c r="A4" s="235" t="s">
        <v>121</v>
      </c>
      <c r="B4" s="236"/>
      <c r="C4" s="236" t="s">
        <v>80</v>
      </c>
      <c r="D4" s="236"/>
      <c r="E4" s="236"/>
      <c r="I4" s="111"/>
    </row>
    <row r="5" spans="1:9" ht="18" customHeight="1" x14ac:dyDescent="0.35">
      <c r="A5" s="235" t="s">
        <v>81</v>
      </c>
      <c r="B5" s="236"/>
      <c r="C5" s="236" t="s">
        <v>82</v>
      </c>
      <c r="D5" s="236"/>
      <c r="E5" s="236"/>
      <c r="I5" s="111"/>
    </row>
    <row r="6" spans="1:9" ht="18" customHeight="1" x14ac:dyDescent="0.35">
      <c r="A6" s="235" t="s">
        <v>83</v>
      </c>
      <c r="B6" s="236"/>
      <c r="C6" s="236" t="s">
        <v>84</v>
      </c>
      <c r="D6" s="236"/>
      <c r="E6" s="236"/>
      <c r="I6" s="111"/>
    </row>
    <row r="7" spans="1:9" ht="18" customHeight="1" x14ac:dyDescent="0.35">
      <c r="A7" s="235" t="s">
        <v>85</v>
      </c>
      <c r="B7" s="236"/>
      <c r="C7" s="236" t="s">
        <v>86</v>
      </c>
      <c r="D7" s="236"/>
      <c r="E7" s="236"/>
      <c r="I7" s="111"/>
    </row>
    <row r="8" spans="1:9" ht="18" customHeight="1" x14ac:dyDescent="0.35">
      <c r="A8" s="235"/>
      <c r="B8" s="236"/>
      <c r="C8" s="236"/>
      <c r="D8" s="236"/>
      <c r="E8" s="236"/>
      <c r="I8" s="111"/>
    </row>
    <row r="9" spans="1:9" ht="18" customHeight="1" x14ac:dyDescent="0.35">
      <c r="A9" s="235" t="s">
        <v>120</v>
      </c>
      <c r="B9" s="236"/>
      <c r="C9" s="236" t="s">
        <v>87</v>
      </c>
      <c r="D9" s="236"/>
      <c r="E9" s="236"/>
      <c r="I9" s="111"/>
    </row>
    <row r="10" spans="1:9" ht="18" customHeight="1" x14ac:dyDescent="0.35">
      <c r="A10" s="235"/>
      <c r="B10" s="236"/>
      <c r="C10" s="236"/>
      <c r="D10" s="236"/>
      <c r="E10" s="236"/>
      <c r="I10" s="111"/>
    </row>
    <row r="11" spans="1:9" ht="18" customHeight="1" x14ac:dyDescent="0.35">
      <c r="A11" s="235" t="s">
        <v>88</v>
      </c>
      <c r="B11" s="236"/>
      <c r="C11" s="236" t="s">
        <v>89</v>
      </c>
      <c r="D11" s="236"/>
      <c r="E11" s="236"/>
      <c r="I11" s="111"/>
    </row>
    <row r="12" spans="1:9" ht="18" customHeight="1" x14ac:dyDescent="0.35">
      <c r="A12" s="235" t="s">
        <v>90</v>
      </c>
      <c r="B12" s="236"/>
      <c r="C12" s="236" t="s">
        <v>91</v>
      </c>
      <c r="D12" s="236"/>
      <c r="E12" s="236"/>
      <c r="I12" s="111"/>
    </row>
    <row r="13" spans="1:9" ht="18" customHeight="1" x14ac:dyDescent="0.35">
      <c r="A13" s="235"/>
      <c r="B13" s="236"/>
      <c r="C13" s="236"/>
      <c r="D13" s="236"/>
      <c r="E13" s="236"/>
      <c r="I13" s="111"/>
    </row>
    <row r="14" spans="1:9" ht="18" customHeight="1" x14ac:dyDescent="0.35">
      <c r="A14" s="235" t="s">
        <v>92</v>
      </c>
      <c r="B14" s="236"/>
      <c r="C14" s="236" t="s">
        <v>93</v>
      </c>
      <c r="D14" s="236"/>
      <c r="E14" s="236"/>
      <c r="I14" s="111"/>
    </row>
    <row r="15" spans="1:9" ht="18" customHeight="1" x14ac:dyDescent="0.35">
      <c r="A15" s="235"/>
      <c r="B15" s="236"/>
      <c r="C15" s="236"/>
      <c r="D15" s="236"/>
      <c r="E15" s="236"/>
      <c r="I15" s="111"/>
    </row>
    <row r="16" spans="1:9" ht="18" customHeight="1" x14ac:dyDescent="0.35">
      <c r="A16" s="235" t="s">
        <v>94</v>
      </c>
      <c r="B16" s="236"/>
      <c r="C16" s="236" t="s">
        <v>95</v>
      </c>
      <c r="D16" s="236"/>
      <c r="E16" s="236"/>
      <c r="I16" s="111"/>
    </row>
    <row r="17" spans="1:9" ht="18" customHeight="1" x14ac:dyDescent="0.35">
      <c r="A17" s="235"/>
      <c r="B17" s="236"/>
      <c r="C17" s="236"/>
      <c r="D17" s="236"/>
      <c r="E17" s="236"/>
      <c r="I17" s="111"/>
    </row>
    <row r="18" spans="1:9" ht="18" customHeight="1" x14ac:dyDescent="0.35">
      <c r="A18" s="235" t="s">
        <v>96</v>
      </c>
      <c r="B18" s="236"/>
      <c r="C18" s="236" t="s">
        <v>97</v>
      </c>
      <c r="D18" s="236"/>
      <c r="E18" s="236"/>
      <c r="I18" s="111"/>
    </row>
    <row r="19" spans="1:9" ht="18" customHeight="1" x14ac:dyDescent="0.35">
      <c r="A19" s="235"/>
      <c r="B19" s="236"/>
      <c r="C19" s="236"/>
      <c r="D19" s="236"/>
      <c r="E19" s="236"/>
      <c r="I19" s="111"/>
    </row>
    <row r="20" spans="1:9" ht="18" customHeight="1" x14ac:dyDescent="0.35">
      <c r="A20" s="235" t="s">
        <v>98</v>
      </c>
      <c r="B20" s="236"/>
      <c r="C20" s="236" t="s">
        <v>99</v>
      </c>
      <c r="D20" s="236"/>
      <c r="E20" s="236"/>
      <c r="I20" s="111"/>
    </row>
    <row r="21" spans="1:9" ht="18" customHeight="1" x14ac:dyDescent="0.35">
      <c r="A21" s="235"/>
      <c r="B21" s="236"/>
      <c r="C21" s="236"/>
      <c r="D21" s="236"/>
      <c r="E21" s="236"/>
      <c r="I21" s="111"/>
    </row>
    <row r="22" spans="1:9" ht="18" customHeight="1" x14ac:dyDescent="0.35">
      <c r="A22" s="235" t="s">
        <v>100</v>
      </c>
      <c r="B22" s="236"/>
      <c r="C22" s="236" t="s">
        <v>101</v>
      </c>
      <c r="D22" s="236"/>
      <c r="E22" s="236"/>
      <c r="I22" s="111"/>
    </row>
    <row r="23" spans="1:9" ht="18" customHeight="1" x14ac:dyDescent="0.35">
      <c r="A23" s="235" t="s">
        <v>102</v>
      </c>
      <c r="B23" s="236"/>
      <c r="C23" s="236" t="s">
        <v>103</v>
      </c>
      <c r="D23" s="236"/>
      <c r="E23" s="236"/>
      <c r="I23" s="111"/>
    </row>
    <row r="24" spans="1:9" ht="18" customHeight="1" x14ac:dyDescent="0.35">
      <c r="A24" s="235" t="s">
        <v>106</v>
      </c>
      <c r="B24" s="236"/>
      <c r="C24" s="236" t="s">
        <v>107</v>
      </c>
      <c r="D24" s="236"/>
      <c r="E24" s="236"/>
      <c r="I24" s="111"/>
    </row>
    <row r="25" spans="1:9" ht="18" customHeight="1" x14ac:dyDescent="0.35">
      <c r="A25" s="235"/>
      <c r="B25" s="236"/>
      <c r="C25" s="236"/>
      <c r="D25" s="236"/>
      <c r="E25" s="236"/>
      <c r="I25" s="111"/>
    </row>
    <row r="26" spans="1:9" ht="18" customHeight="1" x14ac:dyDescent="0.35">
      <c r="A26" s="235" t="s">
        <v>104</v>
      </c>
      <c r="B26" s="236"/>
      <c r="C26" s="236" t="s">
        <v>105</v>
      </c>
      <c r="D26" s="236"/>
      <c r="E26" s="236"/>
      <c r="I26" s="111"/>
    </row>
    <row r="27" spans="1:9" ht="18" customHeight="1" x14ac:dyDescent="0.35">
      <c r="A27" s="235" t="s">
        <v>114</v>
      </c>
      <c r="B27" s="236"/>
      <c r="C27" s="236" t="s">
        <v>115</v>
      </c>
      <c r="D27" s="236"/>
      <c r="E27" s="236"/>
      <c r="I27" s="111"/>
    </row>
    <row r="28" spans="1:9" ht="18" customHeight="1" x14ac:dyDescent="0.35">
      <c r="A28" s="235"/>
      <c r="B28" s="236"/>
      <c r="C28" s="236"/>
      <c r="D28" s="236"/>
      <c r="E28" s="236"/>
      <c r="I28" s="111"/>
    </row>
    <row r="29" spans="1:9" ht="18" customHeight="1" x14ac:dyDescent="0.35">
      <c r="A29" s="235" t="s">
        <v>108</v>
      </c>
      <c r="B29" s="236"/>
      <c r="C29" s="236" t="s">
        <v>109</v>
      </c>
      <c r="D29" s="236"/>
      <c r="E29" s="236"/>
      <c r="I29" s="111"/>
    </row>
    <row r="30" spans="1:9" ht="18" customHeight="1" x14ac:dyDescent="0.35">
      <c r="A30" s="235"/>
      <c r="B30" s="236"/>
      <c r="C30" s="236"/>
      <c r="D30" s="236"/>
      <c r="E30" s="236"/>
      <c r="I30" s="111"/>
    </row>
    <row r="31" spans="1:9" ht="18" customHeight="1" x14ac:dyDescent="0.35">
      <c r="A31" s="235" t="s">
        <v>110</v>
      </c>
      <c r="B31" s="236"/>
      <c r="C31" s="236" t="s">
        <v>111</v>
      </c>
      <c r="D31" s="236"/>
      <c r="E31" s="236"/>
      <c r="I31" s="111"/>
    </row>
    <row r="32" spans="1:9" ht="18" customHeight="1" x14ac:dyDescent="0.35">
      <c r="A32" s="235"/>
      <c r="B32" s="236"/>
      <c r="C32" s="236"/>
      <c r="D32" s="236"/>
      <c r="E32" s="236"/>
      <c r="I32" s="111"/>
    </row>
    <row r="33" spans="1:9" ht="18" customHeight="1" x14ac:dyDescent="0.35">
      <c r="A33" s="235" t="s">
        <v>112</v>
      </c>
      <c r="B33" s="236"/>
      <c r="C33" s="236" t="s">
        <v>113</v>
      </c>
      <c r="D33" s="236"/>
      <c r="E33" s="236"/>
      <c r="I33" s="111"/>
    </row>
    <row r="34" spans="1:9" ht="18" customHeight="1" x14ac:dyDescent="0.35">
      <c r="A34" s="235"/>
      <c r="B34" s="236"/>
      <c r="C34" s="236"/>
      <c r="D34" s="236"/>
      <c r="E34" s="236"/>
      <c r="I34" s="111"/>
    </row>
    <row r="35" spans="1:9" ht="18" customHeight="1" x14ac:dyDescent="0.35">
      <c r="A35" s="235" t="s">
        <v>116</v>
      </c>
      <c r="B35" s="236"/>
      <c r="C35" s="236" t="s">
        <v>117</v>
      </c>
      <c r="D35" s="236"/>
      <c r="E35" s="236"/>
      <c r="I35" s="111"/>
    </row>
    <row r="36" spans="1:9" ht="18" customHeight="1" x14ac:dyDescent="0.35">
      <c r="A36" s="235"/>
      <c r="B36" s="236"/>
      <c r="C36" s="236"/>
      <c r="D36" s="236"/>
      <c r="E36" s="236"/>
      <c r="I36" s="111"/>
    </row>
    <row r="37" spans="1:9" ht="18" customHeight="1" x14ac:dyDescent="0.35">
      <c r="A37" s="235" t="s">
        <v>118</v>
      </c>
      <c r="B37" s="236"/>
      <c r="C37" s="236" t="s">
        <v>119</v>
      </c>
      <c r="D37" s="236"/>
      <c r="E37" s="236"/>
      <c r="I37" s="111"/>
    </row>
    <row r="38" spans="1:9" ht="18" customHeight="1" x14ac:dyDescent="0.25">
      <c r="A38" s="110"/>
      <c r="I38" s="111"/>
    </row>
    <row r="39" spans="1:9" ht="18" customHeight="1" x14ac:dyDescent="0.25">
      <c r="A39" s="110"/>
      <c r="I39" s="111"/>
    </row>
    <row r="40" spans="1:9" ht="18" customHeight="1" x14ac:dyDescent="0.25">
      <c r="A40" s="110"/>
      <c r="I40" s="111"/>
    </row>
    <row r="41" spans="1:9" ht="13" thickBot="1" x14ac:dyDescent="0.3">
      <c r="A41" s="238"/>
      <c r="B41" s="112"/>
      <c r="C41" s="112"/>
      <c r="D41" s="112"/>
      <c r="E41" s="112"/>
      <c r="F41" s="112"/>
      <c r="G41" s="112"/>
      <c r="H41" s="112"/>
      <c r="I41" s="239"/>
    </row>
  </sheetData>
  <sheetProtection password="C75E" sheet="1"/>
  <phoneticPr fontId="0" type="noConversion"/>
  <pageMargins left="0.75" right="0.75" top="0.72" bottom="0.73" header="0.4921259845" footer="0.4921259845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749"/>
  <sheetViews>
    <sheetView zoomScale="130" zoomScaleNormal="130" workbookViewId="0"/>
  </sheetViews>
  <sheetFormatPr defaultRowHeight="12.5" x14ac:dyDescent="0.25"/>
  <cols>
    <col min="1" max="1" width="20.26953125" customWidth="1"/>
    <col min="2" max="7" width="11.453125" customWidth="1"/>
    <col min="8" max="8" width="9.7265625" customWidth="1"/>
    <col min="9" max="9" width="11.453125" customWidth="1"/>
  </cols>
  <sheetData>
    <row r="1" spans="1:55" s="491" customFormat="1" ht="11.25" customHeight="1" x14ac:dyDescent="0.3">
      <c r="A1" s="327"/>
      <c r="B1" s="148"/>
      <c r="C1" s="148"/>
      <c r="D1" s="162" t="s">
        <v>305</v>
      </c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</row>
    <row r="2" spans="1:55" s="491" customFormat="1" ht="11.25" customHeight="1" x14ac:dyDescent="0.25">
      <c r="A2" s="327" t="s">
        <v>234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</row>
    <row r="3" spans="1:55" s="491" customFormat="1" ht="11.25" customHeight="1" x14ac:dyDescent="0.25">
      <c r="A3" s="148"/>
      <c r="B3" s="148"/>
      <c r="C3" s="148"/>
      <c r="D3" s="148" t="s">
        <v>472</v>
      </c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</row>
    <row r="4" spans="1:55" s="491" customFormat="1" x14ac:dyDescent="0.25">
      <c r="A4" s="148"/>
      <c r="B4" s="148"/>
      <c r="C4" s="148" t="s">
        <v>306</v>
      </c>
      <c r="D4" s="53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</row>
    <row r="5" spans="1:55" s="491" customFormat="1" x14ac:dyDescent="0.25">
      <c r="A5" s="148"/>
      <c r="B5" s="148"/>
      <c r="C5" s="148" t="s">
        <v>307</v>
      </c>
      <c r="D5" s="539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</row>
    <row r="6" spans="1:55" s="491" customFormat="1" x14ac:dyDescent="0.25">
      <c r="A6" s="148"/>
      <c r="B6" s="148"/>
      <c r="C6" s="148" t="s">
        <v>308</v>
      </c>
      <c r="D6" s="540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</row>
    <row r="7" spans="1:55" s="491" customFormat="1" ht="14.25" customHeight="1" thickBot="1" x14ac:dyDescent="0.3">
      <c r="A7" s="148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</row>
    <row r="8" spans="1:55" s="551" customFormat="1" ht="12" customHeight="1" thickBot="1" x14ac:dyDescent="0.3">
      <c r="A8" s="550"/>
      <c r="B8" s="765" t="s">
        <v>309</v>
      </c>
      <c r="C8" s="766"/>
      <c r="D8" s="767" t="s">
        <v>310</v>
      </c>
      <c r="E8" s="768"/>
      <c r="F8" s="769" t="s">
        <v>311</v>
      </c>
      <c r="G8" s="77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550"/>
      <c r="BC8" s="550"/>
    </row>
    <row r="9" spans="1:55" s="546" customFormat="1" ht="25.5" customHeight="1" thickBot="1" x14ac:dyDescent="0.35">
      <c r="A9" s="157" t="s">
        <v>312</v>
      </c>
      <c r="B9" s="544" t="s">
        <v>473</v>
      </c>
      <c r="C9" s="545" t="s">
        <v>313</v>
      </c>
      <c r="D9" s="544" t="s">
        <v>474</v>
      </c>
      <c r="E9" s="545" t="s">
        <v>313</v>
      </c>
      <c r="F9" s="544" t="s">
        <v>474</v>
      </c>
      <c r="G9" s="543" t="s">
        <v>313</v>
      </c>
      <c r="H9" s="541" t="s">
        <v>314</v>
      </c>
      <c r="I9" s="542" t="s">
        <v>315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</row>
    <row r="10" spans="1:55" s="491" customFormat="1" x14ac:dyDescent="0.25">
      <c r="A10" s="484"/>
      <c r="B10" s="485"/>
      <c r="C10" s="486"/>
      <c r="D10" s="487"/>
      <c r="E10" s="488"/>
      <c r="F10" s="485"/>
      <c r="G10" s="486"/>
      <c r="H10" s="489">
        <f>B10+D10+F10</f>
        <v>0</v>
      </c>
      <c r="I10" s="490">
        <f>B10*C10+D10*E10+F10*G10</f>
        <v>0</v>
      </c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</row>
    <row r="11" spans="1:55" s="491" customFormat="1" x14ac:dyDescent="0.25">
      <c r="A11" s="492"/>
      <c r="B11" s="493"/>
      <c r="C11" s="494"/>
      <c r="D11" s="495"/>
      <c r="E11" s="496"/>
      <c r="F11" s="493"/>
      <c r="G11" s="494"/>
      <c r="H11" s="497">
        <f t="shared" ref="H11:H29" si="0">B11+D11+F11</f>
        <v>0</v>
      </c>
      <c r="I11" s="498">
        <f t="shared" ref="I11:I28" si="1">B11*C11+D11*E11+F11*G11</f>
        <v>0</v>
      </c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</row>
    <row r="12" spans="1:55" s="491" customFormat="1" x14ac:dyDescent="0.25">
      <c r="A12" s="492"/>
      <c r="B12" s="493"/>
      <c r="C12" s="494"/>
      <c r="D12" s="495"/>
      <c r="E12" s="496"/>
      <c r="F12" s="493"/>
      <c r="G12" s="494"/>
      <c r="H12" s="497">
        <f t="shared" si="0"/>
        <v>0</v>
      </c>
      <c r="I12" s="498">
        <f t="shared" si="1"/>
        <v>0</v>
      </c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</row>
    <row r="13" spans="1:55" s="491" customFormat="1" x14ac:dyDescent="0.25">
      <c r="A13" s="492"/>
      <c r="B13" s="493"/>
      <c r="C13" s="494"/>
      <c r="D13" s="495"/>
      <c r="E13" s="496"/>
      <c r="F13" s="493"/>
      <c r="G13" s="494"/>
      <c r="H13" s="497">
        <f t="shared" si="0"/>
        <v>0</v>
      </c>
      <c r="I13" s="498">
        <f t="shared" si="1"/>
        <v>0</v>
      </c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</row>
    <row r="14" spans="1:55" s="491" customFormat="1" x14ac:dyDescent="0.25">
      <c r="A14" s="492"/>
      <c r="B14" s="493"/>
      <c r="C14" s="494"/>
      <c r="D14" s="495"/>
      <c r="E14" s="496"/>
      <c r="F14" s="493"/>
      <c r="G14" s="494"/>
      <c r="H14" s="497">
        <f t="shared" si="0"/>
        <v>0</v>
      </c>
      <c r="I14" s="498">
        <f t="shared" si="1"/>
        <v>0</v>
      </c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</row>
    <row r="15" spans="1:55" s="491" customFormat="1" x14ac:dyDescent="0.25">
      <c r="A15" s="492"/>
      <c r="B15" s="493"/>
      <c r="C15" s="494"/>
      <c r="D15" s="495"/>
      <c r="E15" s="496"/>
      <c r="F15" s="493"/>
      <c r="G15" s="494"/>
      <c r="H15" s="497">
        <f t="shared" si="0"/>
        <v>0</v>
      </c>
      <c r="I15" s="498">
        <f t="shared" si="1"/>
        <v>0</v>
      </c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</row>
    <row r="16" spans="1:55" s="491" customFormat="1" x14ac:dyDescent="0.25">
      <c r="A16" s="492"/>
      <c r="B16" s="493"/>
      <c r="C16" s="494"/>
      <c r="D16" s="495"/>
      <c r="E16" s="496"/>
      <c r="F16" s="493"/>
      <c r="G16" s="494"/>
      <c r="H16" s="497">
        <f t="shared" si="0"/>
        <v>0</v>
      </c>
      <c r="I16" s="498">
        <f t="shared" si="1"/>
        <v>0</v>
      </c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</row>
    <row r="17" spans="1:55" s="491" customFormat="1" x14ac:dyDescent="0.25">
      <c r="A17" s="492"/>
      <c r="B17" s="493"/>
      <c r="C17" s="494"/>
      <c r="D17" s="495"/>
      <c r="E17" s="496"/>
      <c r="F17" s="493"/>
      <c r="G17" s="494"/>
      <c r="H17" s="497">
        <f t="shared" si="0"/>
        <v>0</v>
      </c>
      <c r="I17" s="498">
        <f t="shared" si="1"/>
        <v>0</v>
      </c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</row>
    <row r="18" spans="1:55" s="491" customFormat="1" x14ac:dyDescent="0.25">
      <c r="A18" s="492"/>
      <c r="B18" s="493"/>
      <c r="C18" s="494"/>
      <c r="D18" s="495"/>
      <c r="E18" s="496"/>
      <c r="F18" s="493"/>
      <c r="G18" s="494"/>
      <c r="H18" s="497">
        <f t="shared" si="0"/>
        <v>0</v>
      </c>
      <c r="I18" s="498">
        <f t="shared" si="1"/>
        <v>0</v>
      </c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</row>
    <row r="19" spans="1:55" s="491" customFormat="1" x14ac:dyDescent="0.25">
      <c r="A19" s="492"/>
      <c r="B19" s="493"/>
      <c r="C19" s="494"/>
      <c r="D19" s="495"/>
      <c r="E19" s="496"/>
      <c r="F19" s="493"/>
      <c r="G19" s="494"/>
      <c r="H19" s="497">
        <f t="shared" si="0"/>
        <v>0</v>
      </c>
      <c r="I19" s="498">
        <f t="shared" si="1"/>
        <v>0</v>
      </c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</row>
    <row r="20" spans="1:55" s="491" customFormat="1" x14ac:dyDescent="0.25">
      <c r="A20" s="492"/>
      <c r="B20" s="493"/>
      <c r="C20" s="494"/>
      <c r="D20" s="495"/>
      <c r="E20" s="496"/>
      <c r="F20" s="493"/>
      <c r="G20" s="494"/>
      <c r="H20" s="497">
        <f t="shared" si="0"/>
        <v>0</v>
      </c>
      <c r="I20" s="498">
        <f t="shared" si="1"/>
        <v>0</v>
      </c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</row>
    <row r="21" spans="1:55" s="491" customFormat="1" x14ac:dyDescent="0.25">
      <c r="A21" s="492"/>
      <c r="B21" s="493"/>
      <c r="C21" s="494"/>
      <c r="D21" s="495"/>
      <c r="E21" s="496"/>
      <c r="F21" s="493"/>
      <c r="G21" s="494"/>
      <c r="H21" s="497">
        <f t="shared" si="0"/>
        <v>0</v>
      </c>
      <c r="I21" s="498">
        <f t="shared" si="1"/>
        <v>0</v>
      </c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</row>
    <row r="22" spans="1:55" s="491" customFormat="1" x14ac:dyDescent="0.25">
      <c r="A22" s="492"/>
      <c r="B22" s="493"/>
      <c r="C22" s="494"/>
      <c r="D22" s="495"/>
      <c r="E22" s="496"/>
      <c r="F22" s="493"/>
      <c r="G22" s="494"/>
      <c r="H22" s="497">
        <f t="shared" si="0"/>
        <v>0</v>
      </c>
      <c r="I22" s="498">
        <f t="shared" si="1"/>
        <v>0</v>
      </c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</row>
    <row r="23" spans="1:55" s="491" customFormat="1" x14ac:dyDescent="0.25">
      <c r="A23" s="492"/>
      <c r="B23" s="493"/>
      <c r="C23" s="494"/>
      <c r="D23" s="495"/>
      <c r="E23" s="496"/>
      <c r="F23" s="493"/>
      <c r="G23" s="494"/>
      <c r="H23" s="497">
        <f t="shared" si="0"/>
        <v>0</v>
      </c>
      <c r="I23" s="498">
        <f t="shared" si="1"/>
        <v>0</v>
      </c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</row>
    <row r="24" spans="1:55" s="491" customFormat="1" ht="13" thickBot="1" x14ac:dyDescent="0.3">
      <c r="A24" s="499"/>
      <c r="B24" s="500"/>
      <c r="C24" s="501"/>
      <c r="D24" s="502"/>
      <c r="E24" s="503"/>
      <c r="F24" s="500"/>
      <c r="G24" s="501"/>
      <c r="H24" s="504">
        <f t="shared" si="0"/>
        <v>0</v>
      </c>
      <c r="I24" s="505">
        <f t="shared" si="1"/>
        <v>0</v>
      </c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</row>
    <row r="25" spans="1:55" s="549" customFormat="1" ht="12" customHeight="1" thickBot="1" x14ac:dyDescent="0.3">
      <c r="A25" s="774" t="s">
        <v>464</v>
      </c>
      <c r="B25" s="775"/>
      <c r="C25" s="775"/>
      <c r="D25" s="775"/>
      <c r="E25" s="775"/>
      <c r="F25" s="775"/>
      <c r="G25" s="776"/>
      <c r="H25" s="547"/>
      <c r="I25" s="548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</row>
    <row r="26" spans="1:55" s="491" customFormat="1" x14ac:dyDescent="0.25">
      <c r="A26" s="506"/>
      <c r="B26" s="507"/>
      <c r="C26" s="508"/>
      <c r="D26" s="507"/>
      <c r="E26" s="508"/>
      <c r="F26" s="507"/>
      <c r="G26" s="509"/>
      <c r="H26" s="510">
        <f t="shared" si="0"/>
        <v>0</v>
      </c>
      <c r="I26" s="511">
        <f t="shared" si="1"/>
        <v>0</v>
      </c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</row>
    <row r="27" spans="1:55" s="491" customFormat="1" x14ac:dyDescent="0.25">
      <c r="A27" s="512"/>
      <c r="B27" s="513"/>
      <c r="C27" s="514"/>
      <c r="D27" s="513"/>
      <c r="E27" s="514"/>
      <c r="F27" s="513"/>
      <c r="G27" s="515"/>
      <c r="H27" s="516">
        <f t="shared" si="0"/>
        <v>0</v>
      </c>
      <c r="I27" s="517">
        <f t="shared" si="1"/>
        <v>0</v>
      </c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</row>
    <row r="28" spans="1:55" s="491" customFormat="1" x14ac:dyDescent="0.25">
      <c r="A28" s="512"/>
      <c r="B28" s="513"/>
      <c r="C28" s="514"/>
      <c r="D28" s="513"/>
      <c r="E28" s="514"/>
      <c r="F28" s="513"/>
      <c r="G28" s="515"/>
      <c r="H28" s="516">
        <f t="shared" si="0"/>
        <v>0</v>
      </c>
      <c r="I28" s="517">
        <f t="shared" si="1"/>
        <v>0</v>
      </c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</row>
    <row r="29" spans="1:55" s="491" customFormat="1" ht="13" thickBot="1" x14ac:dyDescent="0.3">
      <c r="A29" s="518"/>
      <c r="B29" s="519"/>
      <c r="C29" s="520"/>
      <c r="D29" s="519"/>
      <c r="E29" s="520"/>
      <c r="F29" s="519"/>
      <c r="G29" s="521"/>
      <c r="H29" s="522">
        <f t="shared" si="0"/>
        <v>0</v>
      </c>
      <c r="I29" s="523">
        <f>B29*C29+D29*E29+F29*G29</f>
        <v>0</v>
      </c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</row>
    <row r="30" spans="1:55" s="549" customFormat="1" ht="12" customHeight="1" thickBot="1" x14ac:dyDescent="0.3">
      <c r="A30" s="771" t="s">
        <v>465</v>
      </c>
      <c r="B30" s="772"/>
      <c r="C30" s="772"/>
      <c r="D30" s="772"/>
      <c r="E30" s="772"/>
      <c r="F30" s="772"/>
      <c r="G30" s="773"/>
      <c r="H30" s="547"/>
      <c r="I30" s="548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</row>
    <row r="31" spans="1:55" s="491" customFormat="1" x14ac:dyDescent="0.25">
      <c r="A31" s="563"/>
      <c r="B31" s="564"/>
      <c r="C31" s="565"/>
      <c r="D31" s="564"/>
      <c r="E31" s="565"/>
      <c r="F31" s="564"/>
      <c r="G31" s="566"/>
      <c r="H31" s="510">
        <f>B31+D31+F31</f>
        <v>0</v>
      </c>
      <c r="I31" s="511">
        <f>B31*C31+D31*E31+F31*G31</f>
        <v>0</v>
      </c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</row>
    <row r="32" spans="1:55" s="491" customFormat="1" x14ac:dyDescent="0.25">
      <c r="A32" s="567"/>
      <c r="B32" s="568"/>
      <c r="C32" s="569"/>
      <c r="D32" s="568"/>
      <c r="E32" s="569"/>
      <c r="F32" s="568"/>
      <c r="G32" s="570"/>
      <c r="H32" s="516">
        <f>B32+D32+F32</f>
        <v>0</v>
      </c>
      <c r="I32" s="517">
        <f>B32*C32+D32*E32+F32*G32</f>
        <v>0</v>
      </c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</row>
    <row r="33" spans="1:55" s="491" customFormat="1" x14ac:dyDescent="0.25">
      <c r="A33" s="567"/>
      <c r="B33" s="568"/>
      <c r="C33" s="569"/>
      <c r="D33" s="568"/>
      <c r="E33" s="569"/>
      <c r="F33" s="568"/>
      <c r="G33" s="570"/>
      <c r="H33" s="516">
        <f>B33+D33+F33</f>
        <v>0</v>
      </c>
      <c r="I33" s="517">
        <f>B33*C33+D33*E33+F33*G33</f>
        <v>0</v>
      </c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</row>
    <row r="34" spans="1:55" s="491" customFormat="1" ht="13" thickBot="1" x14ac:dyDescent="0.3">
      <c r="A34" s="571"/>
      <c r="B34" s="572"/>
      <c r="C34" s="573"/>
      <c r="D34" s="572"/>
      <c r="E34" s="573"/>
      <c r="F34" s="572"/>
      <c r="G34" s="574"/>
      <c r="H34" s="524">
        <f>B34+D34+F34</f>
        <v>0</v>
      </c>
      <c r="I34" s="525">
        <f>B34*C34+D34*E34+F34*G34</f>
        <v>0</v>
      </c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</row>
    <row r="35" spans="1:55" s="491" customFormat="1" ht="13" x14ac:dyDescent="0.3">
      <c r="A35" s="526" t="s">
        <v>316</v>
      </c>
      <c r="B35" s="243">
        <f>SUM(B10:B34)</f>
        <v>0</v>
      </c>
      <c r="C35" s="148"/>
      <c r="D35" s="243">
        <f>SUM(D10:D34)</f>
        <v>0</v>
      </c>
      <c r="E35" s="148"/>
      <c r="F35" s="527">
        <f>SUM(F10:F34)</f>
        <v>0</v>
      </c>
      <c r="G35" s="148"/>
      <c r="H35" s="243">
        <f>SUM(H10:H34)</f>
        <v>0</v>
      </c>
      <c r="I35" s="528">
        <f>SUM(I10:I34)</f>
        <v>0</v>
      </c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</row>
    <row r="36" spans="1:55" s="491" customFormat="1" ht="9.75" customHeight="1" x14ac:dyDescent="0.25">
      <c r="A36" s="148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</row>
    <row r="37" spans="1:55" s="491" customFormat="1" ht="12" customHeight="1" x14ac:dyDescent="0.25">
      <c r="A37" s="529" t="s">
        <v>317</v>
      </c>
      <c r="B37" s="530"/>
      <c r="C37" s="531" t="e">
        <f>SUM('NHK muuttuu kesken urakan'!J29)</f>
        <v>#DIV/0!</v>
      </c>
      <c r="D37" s="532" t="s">
        <v>318</v>
      </c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</row>
    <row r="38" spans="1:55" s="491" customFormat="1" ht="12" customHeight="1" thickBot="1" x14ac:dyDescent="0.3">
      <c r="A38" s="533" t="s">
        <v>305</v>
      </c>
      <c r="B38" s="534"/>
      <c r="C38" s="535">
        <f>H35</f>
        <v>0</v>
      </c>
      <c r="D38" s="536" t="s">
        <v>319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</row>
    <row r="39" spans="1:55" s="491" customFormat="1" ht="12" customHeight="1" thickBot="1" x14ac:dyDescent="0.3">
      <c r="A39" s="148" t="s">
        <v>320</v>
      </c>
      <c r="B39" s="148"/>
      <c r="C39" s="537" t="e">
        <f>SUM(C37/C38)</f>
        <v>#DIV/0!</v>
      </c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</row>
    <row r="40" spans="1:55" s="491" customFormat="1" x14ac:dyDescent="0.25">
      <c r="A40" s="148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</row>
    <row r="41" spans="1:55" x14ac:dyDescent="0.25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</row>
    <row r="42" spans="1:55" ht="14" x14ac:dyDescent="0.3">
      <c r="A42" s="240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</row>
    <row r="43" spans="1:55" x14ac:dyDescent="0.25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</row>
    <row r="44" spans="1:55" x14ac:dyDescent="0.25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</row>
    <row r="45" spans="1:55" x14ac:dyDescent="0.25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</row>
    <row r="46" spans="1:55" x14ac:dyDescent="0.25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</row>
    <row r="47" spans="1:55" x14ac:dyDescent="0.25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</row>
    <row r="48" spans="1:55" x14ac:dyDescent="0.25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</row>
    <row r="49" spans="1:55" x14ac:dyDescent="0.25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</row>
    <row r="50" spans="1:55" x14ac:dyDescent="0.25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</row>
    <row r="51" spans="1:55" x14ac:dyDescent="0.25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</row>
    <row r="52" spans="1:55" x14ac:dyDescent="0.25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</row>
    <row r="53" spans="1:55" x14ac:dyDescent="0.25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</row>
    <row r="54" spans="1:55" x14ac:dyDescent="0.25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</row>
    <row r="55" spans="1:55" x14ac:dyDescent="0.25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</row>
    <row r="56" spans="1:55" x14ac:dyDescent="0.25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</row>
    <row r="57" spans="1:55" x14ac:dyDescent="0.25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</row>
    <row r="58" spans="1:55" x14ac:dyDescent="0.25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</row>
    <row r="59" spans="1:55" x14ac:dyDescent="0.25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</row>
    <row r="60" spans="1:55" x14ac:dyDescent="0.25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</row>
    <row r="61" spans="1:55" x14ac:dyDescent="0.25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</row>
    <row r="62" spans="1:55" x14ac:dyDescent="0.25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</row>
    <row r="63" spans="1:55" x14ac:dyDescent="0.25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</row>
    <row r="64" spans="1:55" x14ac:dyDescent="0.25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</row>
    <row r="65" spans="1:55" x14ac:dyDescent="0.25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</row>
    <row r="66" spans="1:55" x14ac:dyDescent="0.25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</row>
    <row r="67" spans="1:55" x14ac:dyDescent="0.25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</row>
    <row r="68" spans="1:55" x14ac:dyDescent="0.25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</row>
    <row r="69" spans="1:55" x14ac:dyDescent="0.25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</row>
    <row r="70" spans="1:55" x14ac:dyDescent="0.25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</row>
    <row r="71" spans="1:55" x14ac:dyDescent="0.25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</row>
    <row r="72" spans="1:55" x14ac:dyDescent="0.25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</row>
    <row r="73" spans="1:55" x14ac:dyDescent="0.25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</row>
    <row r="74" spans="1:55" x14ac:dyDescent="0.25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</row>
    <row r="75" spans="1:55" x14ac:dyDescent="0.25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</row>
    <row r="76" spans="1:55" x14ac:dyDescent="0.25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</row>
    <row r="77" spans="1:55" x14ac:dyDescent="0.25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</row>
    <row r="78" spans="1:55" x14ac:dyDescent="0.25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</row>
    <row r="79" spans="1:55" x14ac:dyDescent="0.25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</row>
    <row r="80" spans="1:55" x14ac:dyDescent="0.25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</row>
    <row r="81" spans="1:55" x14ac:dyDescent="0.25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</row>
    <row r="82" spans="1:55" x14ac:dyDescent="0.25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</row>
    <row r="83" spans="1:55" x14ac:dyDescent="0.25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</row>
    <row r="84" spans="1:55" x14ac:dyDescent="0.25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</row>
    <row r="85" spans="1:55" x14ac:dyDescent="0.25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</row>
    <row r="86" spans="1:55" x14ac:dyDescent="0.25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</row>
    <row r="87" spans="1:55" x14ac:dyDescent="0.25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</row>
    <row r="88" spans="1:55" x14ac:dyDescent="0.25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</row>
    <row r="89" spans="1:55" x14ac:dyDescent="0.25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</row>
    <row r="90" spans="1:55" x14ac:dyDescent="0.25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</row>
    <row r="91" spans="1:55" x14ac:dyDescent="0.25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</row>
    <row r="92" spans="1:55" x14ac:dyDescent="0.25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</row>
    <row r="93" spans="1:55" x14ac:dyDescent="0.25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</row>
    <row r="94" spans="1:55" x14ac:dyDescent="0.25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</row>
    <row r="95" spans="1:55" x14ac:dyDescent="0.25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</row>
    <row r="96" spans="1:55" x14ac:dyDescent="0.25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</row>
    <row r="97" spans="1:55" x14ac:dyDescent="0.25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</row>
    <row r="98" spans="1:55" x14ac:dyDescent="0.25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</row>
    <row r="99" spans="1:55" x14ac:dyDescent="0.25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</row>
    <row r="100" spans="1:55" x14ac:dyDescent="0.25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</row>
    <row r="101" spans="1:55" x14ac:dyDescent="0.25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</row>
    <row r="102" spans="1:55" x14ac:dyDescent="0.25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</row>
    <row r="103" spans="1:55" x14ac:dyDescent="0.25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</row>
    <row r="104" spans="1:55" x14ac:dyDescent="0.25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</row>
    <row r="105" spans="1:55" x14ac:dyDescent="0.25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</row>
    <row r="106" spans="1:55" x14ac:dyDescent="0.25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</row>
    <row r="107" spans="1:55" x14ac:dyDescent="0.25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</row>
    <row r="108" spans="1:55" x14ac:dyDescent="0.25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</row>
    <row r="109" spans="1:55" x14ac:dyDescent="0.25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</row>
    <row r="110" spans="1:55" x14ac:dyDescent="0.25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</row>
    <row r="111" spans="1:55" x14ac:dyDescent="0.25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</row>
    <row r="112" spans="1:55" x14ac:dyDescent="0.25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</row>
    <row r="113" spans="1:55" x14ac:dyDescent="0.25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</row>
    <row r="114" spans="1:55" x14ac:dyDescent="0.25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</row>
    <row r="115" spans="1:55" x14ac:dyDescent="0.25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</row>
    <row r="116" spans="1:55" x14ac:dyDescent="0.25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</row>
    <row r="117" spans="1:55" x14ac:dyDescent="0.25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</row>
    <row r="118" spans="1:55" x14ac:dyDescent="0.25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</row>
    <row r="119" spans="1:55" x14ac:dyDescent="0.25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</row>
    <row r="120" spans="1:55" x14ac:dyDescent="0.25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</row>
    <row r="121" spans="1:55" x14ac:dyDescent="0.25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</row>
    <row r="122" spans="1:55" x14ac:dyDescent="0.25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</row>
    <row r="123" spans="1:55" x14ac:dyDescent="0.25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</row>
    <row r="124" spans="1:55" x14ac:dyDescent="0.25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</row>
    <row r="125" spans="1:55" x14ac:dyDescent="0.25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</row>
    <row r="126" spans="1:55" x14ac:dyDescent="0.25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</row>
    <row r="127" spans="1:55" x14ac:dyDescent="0.25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</row>
    <row r="128" spans="1:55" x14ac:dyDescent="0.25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</row>
    <row r="129" spans="1:55" x14ac:dyDescent="0.25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</row>
    <row r="130" spans="1:55" x14ac:dyDescent="0.25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</row>
    <row r="131" spans="1:55" x14ac:dyDescent="0.25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</row>
    <row r="132" spans="1:55" x14ac:dyDescent="0.25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</row>
    <row r="133" spans="1:55" x14ac:dyDescent="0.25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</row>
    <row r="134" spans="1:55" x14ac:dyDescent="0.25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</row>
    <row r="135" spans="1:55" x14ac:dyDescent="0.25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</row>
    <row r="136" spans="1:55" x14ac:dyDescent="0.25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</row>
    <row r="137" spans="1:55" x14ac:dyDescent="0.25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</row>
    <row r="138" spans="1:55" x14ac:dyDescent="0.25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</row>
    <row r="139" spans="1:55" x14ac:dyDescent="0.25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</row>
    <row r="140" spans="1:55" x14ac:dyDescent="0.25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</row>
    <row r="141" spans="1:55" x14ac:dyDescent="0.25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</row>
    <row r="142" spans="1:55" x14ac:dyDescent="0.25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</row>
    <row r="143" spans="1:55" x14ac:dyDescent="0.25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</row>
    <row r="144" spans="1:55" x14ac:dyDescent="0.25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</row>
    <row r="145" spans="1:55" x14ac:dyDescent="0.25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</row>
    <row r="146" spans="1:55" x14ac:dyDescent="0.25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</row>
    <row r="147" spans="1:55" x14ac:dyDescent="0.25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</row>
    <row r="148" spans="1:55" x14ac:dyDescent="0.25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</row>
    <row r="149" spans="1:55" x14ac:dyDescent="0.25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</row>
    <row r="150" spans="1:55" x14ac:dyDescent="0.25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</row>
    <row r="151" spans="1:55" x14ac:dyDescent="0.25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</row>
    <row r="152" spans="1:55" x14ac:dyDescent="0.25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</row>
    <row r="153" spans="1:55" x14ac:dyDescent="0.25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</row>
    <row r="154" spans="1:55" x14ac:dyDescent="0.25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</row>
    <row r="155" spans="1:55" x14ac:dyDescent="0.25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</row>
    <row r="156" spans="1:55" x14ac:dyDescent="0.25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</row>
    <row r="157" spans="1:55" x14ac:dyDescent="0.25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</row>
    <row r="158" spans="1:55" x14ac:dyDescent="0.25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</row>
    <row r="159" spans="1:55" x14ac:dyDescent="0.25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</row>
    <row r="160" spans="1:55" x14ac:dyDescent="0.25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</row>
    <row r="161" spans="1:55" x14ac:dyDescent="0.25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</row>
    <row r="162" spans="1:55" x14ac:dyDescent="0.25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</row>
    <row r="163" spans="1:55" x14ac:dyDescent="0.25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</row>
    <row r="164" spans="1:55" x14ac:dyDescent="0.25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</row>
    <row r="165" spans="1:55" x14ac:dyDescent="0.25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</row>
    <row r="166" spans="1:55" x14ac:dyDescent="0.25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</row>
    <row r="167" spans="1:55" x14ac:dyDescent="0.25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</row>
    <row r="168" spans="1:55" x14ac:dyDescent="0.25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</row>
    <row r="169" spans="1:55" x14ac:dyDescent="0.25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</row>
    <row r="170" spans="1:55" x14ac:dyDescent="0.25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</row>
    <row r="171" spans="1:55" x14ac:dyDescent="0.25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</row>
    <row r="172" spans="1:55" x14ac:dyDescent="0.25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</row>
    <row r="173" spans="1:55" x14ac:dyDescent="0.25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</row>
    <row r="174" spans="1:55" x14ac:dyDescent="0.25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</row>
    <row r="175" spans="1:55" x14ac:dyDescent="0.25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</row>
    <row r="176" spans="1:55" x14ac:dyDescent="0.25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</row>
    <row r="177" spans="1:55" x14ac:dyDescent="0.25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</row>
    <row r="178" spans="1:55" x14ac:dyDescent="0.25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</row>
    <row r="179" spans="1:55" x14ac:dyDescent="0.25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</row>
    <row r="180" spans="1:55" x14ac:dyDescent="0.25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</row>
    <row r="181" spans="1:55" x14ac:dyDescent="0.25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</row>
    <row r="182" spans="1:55" x14ac:dyDescent="0.25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</row>
    <row r="183" spans="1:55" x14ac:dyDescent="0.25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</row>
    <row r="184" spans="1:55" x14ac:dyDescent="0.25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</row>
    <row r="185" spans="1:55" x14ac:dyDescent="0.25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</row>
    <row r="186" spans="1:55" x14ac:dyDescent="0.25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</row>
    <row r="187" spans="1:55" x14ac:dyDescent="0.25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</row>
    <row r="188" spans="1:55" x14ac:dyDescent="0.25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</row>
    <row r="189" spans="1:55" x14ac:dyDescent="0.25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</row>
    <row r="190" spans="1:55" x14ac:dyDescent="0.25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</row>
    <row r="191" spans="1:55" x14ac:dyDescent="0.25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</row>
    <row r="192" spans="1:55" x14ac:dyDescent="0.25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</row>
    <row r="193" spans="1:55" x14ac:dyDescent="0.25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</row>
    <row r="194" spans="1:55" x14ac:dyDescent="0.25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</row>
    <row r="195" spans="1:55" x14ac:dyDescent="0.25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</row>
    <row r="196" spans="1:55" x14ac:dyDescent="0.25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</row>
    <row r="197" spans="1:55" x14ac:dyDescent="0.25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</row>
    <row r="198" spans="1:55" x14ac:dyDescent="0.25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</row>
    <row r="199" spans="1:55" x14ac:dyDescent="0.25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</row>
    <row r="200" spans="1:55" x14ac:dyDescent="0.25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</row>
    <row r="201" spans="1:55" x14ac:dyDescent="0.25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</row>
    <row r="202" spans="1:55" x14ac:dyDescent="0.25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</row>
    <row r="203" spans="1:55" x14ac:dyDescent="0.25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</row>
    <row r="204" spans="1:55" x14ac:dyDescent="0.25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</row>
    <row r="205" spans="1:55" x14ac:dyDescent="0.25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</row>
    <row r="206" spans="1:55" x14ac:dyDescent="0.25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</row>
    <row r="207" spans="1:55" x14ac:dyDescent="0.25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</row>
    <row r="208" spans="1:55" x14ac:dyDescent="0.25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</row>
    <row r="209" spans="1:55" x14ac:dyDescent="0.25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</row>
    <row r="210" spans="1:55" x14ac:dyDescent="0.25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</row>
    <row r="211" spans="1:55" x14ac:dyDescent="0.25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</row>
    <row r="212" spans="1:55" x14ac:dyDescent="0.25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</row>
    <row r="213" spans="1:55" x14ac:dyDescent="0.25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</row>
    <row r="214" spans="1:55" x14ac:dyDescent="0.25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</row>
    <row r="215" spans="1:55" x14ac:dyDescent="0.25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</row>
    <row r="216" spans="1:55" x14ac:dyDescent="0.25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</row>
    <row r="217" spans="1:55" x14ac:dyDescent="0.25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</row>
    <row r="218" spans="1:55" x14ac:dyDescent="0.25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</row>
    <row r="219" spans="1:55" x14ac:dyDescent="0.25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</row>
    <row r="220" spans="1:55" x14ac:dyDescent="0.25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</row>
    <row r="221" spans="1:55" x14ac:dyDescent="0.25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</row>
    <row r="222" spans="1:55" x14ac:dyDescent="0.25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</row>
    <row r="223" spans="1:55" x14ac:dyDescent="0.25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</row>
    <row r="224" spans="1:55" x14ac:dyDescent="0.25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</row>
    <row r="225" spans="1:55" x14ac:dyDescent="0.25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</row>
    <row r="226" spans="1:55" x14ac:dyDescent="0.25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</row>
    <row r="227" spans="1:55" x14ac:dyDescent="0.25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</row>
    <row r="228" spans="1:55" x14ac:dyDescent="0.25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</row>
    <row r="229" spans="1:55" x14ac:dyDescent="0.25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</row>
    <row r="230" spans="1:55" x14ac:dyDescent="0.25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</row>
    <row r="231" spans="1:55" x14ac:dyDescent="0.25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</row>
    <row r="232" spans="1:55" x14ac:dyDescent="0.25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</row>
    <row r="233" spans="1:55" x14ac:dyDescent="0.25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</row>
    <row r="234" spans="1:55" x14ac:dyDescent="0.25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</row>
    <row r="235" spans="1:55" x14ac:dyDescent="0.25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</row>
    <row r="236" spans="1:55" x14ac:dyDescent="0.25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</row>
    <row r="237" spans="1:55" x14ac:dyDescent="0.25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</row>
    <row r="238" spans="1:55" x14ac:dyDescent="0.25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</row>
    <row r="239" spans="1:55" x14ac:dyDescent="0.25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</row>
    <row r="240" spans="1:55" x14ac:dyDescent="0.25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</row>
    <row r="241" spans="1:55" x14ac:dyDescent="0.25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</row>
    <row r="242" spans="1:55" x14ac:dyDescent="0.25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</row>
    <row r="243" spans="1:55" x14ac:dyDescent="0.25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</row>
    <row r="244" spans="1:55" x14ac:dyDescent="0.25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</row>
    <row r="245" spans="1:55" x14ac:dyDescent="0.25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</row>
    <row r="246" spans="1:55" x14ac:dyDescent="0.25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</row>
    <row r="247" spans="1:55" x14ac:dyDescent="0.25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</row>
    <row r="248" spans="1:55" x14ac:dyDescent="0.25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</row>
    <row r="249" spans="1:55" x14ac:dyDescent="0.25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</row>
    <row r="250" spans="1:55" x14ac:dyDescent="0.25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</row>
    <row r="251" spans="1:55" x14ac:dyDescent="0.25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</row>
    <row r="252" spans="1:55" x14ac:dyDescent="0.25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</row>
    <row r="253" spans="1:55" x14ac:dyDescent="0.25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</row>
    <row r="254" spans="1:55" x14ac:dyDescent="0.25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</row>
    <row r="255" spans="1:55" x14ac:dyDescent="0.25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</row>
    <row r="256" spans="1:55" x14ac:dyDescent="0.25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</row>
    <row r="257" spans="1:55" x14ac:dyDescent="0.25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</row>
    <row r="258" spans="1:55" x14ac:dyDescent="0.25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</row>
    <row r="259" spans="1:55" x14ac:dyDescent="0.25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</row>
    <row r="260" spans="1:55" x14ac:dyDescent="0.25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</row>
    <row r="261" spans="1:55" x14ac:dyDescent="0.25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</row>
    <row r="262" spans="1:55" x14ac:dyDescent="0.25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</row>
    <row r="263" spans="1:55" x14ac:dyDescent="0.25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</row>
    <row r="264" spans="1:55" x14ac:dyDescent="0.25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</row>
    <row r="265" spans="1:55" x14ac:dyDescent="0.25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</row>
    <row r="266" spans="1:55" x14ac:dyDescent="0.25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</row>
    <row r="267" spans="1:55" x14ac:dyDescent="0.25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</row>
    <row r="268" spans="1:55" x14ac:dyDescent="0.25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</row>
    <row r="269" spans="1:55" x14ac:dyDescent="0.25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</row>
    <row r="270" spans="1:55" x14ac:dyDescent="0.25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</row>
    <row r="271" spans="1:55" x14ac:dyDescent="0.25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</row>
    <row r="272" spans="1:55" x14ac:dyDescent="0.25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</row>
    <row r="273" spans="1:55" x14ac:dyDescent="0.25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</row>
    <row r="274" spans="1:55" x14ac:dyDescent="0.25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</row>
    <row r="275" spans="1:55" x14ac:dyDescent="0.25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</row>
    <row r="276" spans="1:55" x14ac:dyDescent="0.25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</row>
    <row r="277" spans="1:55" x14ac:dyDescent="0.25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</row>
    <row r="278" spans="1:55" x14ac:dyDescent="0.25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</row>
    <row r="279" spans="1:55" x14ac:dyDescent="0.25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</row>
    <row r="280" spans="1:55" x14ac:dyDescent="0.25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</row>
    <row r="281" spans="1:55" x14ac:dyDescent="0.25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</row>
    <row r="282" spans="1:55" x14ac:dyDescent="0.25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</row>
    <row r="283" spans="1:55" x14ac:dyDescent="0.25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</row>
    <row r="284" spans="1:55" x14ac:dyDescent="0.25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</row>
    <row r="285" spans="1:55" x14ac:dyDescent="0.25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</row>
    <row r="286" spans="1:55" x14ac:dyDescent="0.25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</row>
    <row r="287" spans="1:55" x14ac:dyDescent="0.25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</row>
    <row r="288" spans="1:55" x14ac:dyDescent="0.25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</row>
    <row r="289" spans="1:55" x14ac:dyDescent="0.25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</row>
    <row r="290" spans="1:55" x14ac:dyDescent="0.25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</row>
    <row r="291" spans="1:55" x14ac:dyDescent="0.25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</row>
    <row r="292" spans="1:55" x14ac:dyDescent="0.25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</row>
    <row r="293" spans="1:55" x14ac:dyDescent="0.25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</row>
    <row r="294" spans="1:55" x14ac:dyDescent="0.25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</row>
    <row r="295" spans="1:55" x14ac:dyDescent="0.25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</row>
    <row r="296" spans="1:55" x14ac:dyDescent="0.25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</row>
    <row r="297" spans="1:55" x14ac:dyDescent="0.25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</row>
    <row r="298" spans="1:55" x14ac:dyDescent="0.25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</row>
    <row r="299" spans="1:55" x14ac:dyDescent="0.25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</row>
    <row r="300" spans="1:55" x14ac:dyDescent="0.25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</row>
    <row r="301" spans="1:55" x14ac:dyDescent="0.25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</row>
    <row r="302" spans="1:55" x14ac:dyDescent="0.25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</row>
    <row r="303" spans="1:55" x14ac:dyDescent="0.25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</row>
    <row r="304" spans="1:55" x14ac:dyDescent="0.25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</row>
    <row r="305" spans="1:55" x14ac:dyDescent="0.25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</row>
    <row r="306" spans="1:55" x14ac:dyDescent="0.25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</row>
    <row r="307" spans="1:55" x14ac:dyDescent="0.25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</row>
    <row r="308" spans="1:55" x14ac:dyDescent="0.25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</row>
    <row r="309" spans="1:55" x14ac:dyDescent="0.25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</row>
    <row r="310" spans="1:55" x14ac:dyDescent="0.25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</row>
    <row r="311" spans="1:55" x14ac:dyDescent="0.25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</row>
    <row r="312" spans="1:55" x14ac:dyDescent="0.25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</row>
    <row r="313" spans="1:55" x14ac:dyDescent="0.25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</row>
    <row r="314" spans="1:55" x14ac:dyDescent="0.25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</row>
    <row r="315" spans="1:55" x14ac:dyDescent="0.25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</row>
    <row r="316" spans="1:55" x14ac:dyDescent="0.25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</row>
    <row r="317" spans="1:55" x14ac:dyDescent="0.25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</row>
    <row r="318" spans="1:55" x14ac:dyDescent="0.25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</row>
    <row r="319" spans="1:55" x14ac:dyDescent="0.25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</row>
    <row r="320" spans="1:55" x14ac:dyDescent="0.25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</row>
    <row r="321" spans="1:55" x14ac:dyDescent="0.25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</row>
    <row r="322" spans="1:55" x14ac:dyDescent="0.25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</row>
    <row r="323" spans="1:55" x14ac:dyDescent="0.25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</row>
    <row r="324" spans="1:55" x14ac:dyDescent="0.25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</row>
    <row r="325" spans="1:55" x14ac:dyDescent="0.25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</row>
    <row r="326" spans="1:55" x14ac:dyDescent="0.25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</row>
    <row r="327" spans="1:55" x14ac:dyDescent="0.25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</row>
    <row r="328" spans="1:55" x14ac:dyDescent="0.25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</row>
    <row r="329" spans="1:55" x14ac:dyDescent="0.25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</row>
    <row r="330" spans="1:55" x14ac:dyDescent="0.25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</row>
    <row r="331" spans="1:55" x14ac:dyDescent="0.25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</row>
    <row r="332" spans="1:55" x14ac:dyDescent="0.25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</row>
    <row r="333" spans="1:55" x14ac:dyDescent="0.25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</row>
    <row r="334" spans="1:55" x14ac:dyDescent="0.25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</row>
    <row r="335" spans="1:55" x14ac:dyDescent="0.25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</row>
    <row r="336" spans="1:55" x14ac:dyDescent="0.25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</row>
    <row r="337" spans="1:55" x14ac:dyDescent="0.25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</row>
    <row r="338" spans="1:55" x14ac:dyDescent="0.25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</row>
    <row r="339" spans="1:55" x14ac:dyDescent="0.25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</row>
    <row r="340" spans="1:55" x14ac:dyDescent="0.25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</row>
    <row r="341" spans="1:55" x14ac:dyDescent="0.25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</row>
    <row r="342" spans="1:55" x14ac:dyDescent="0.25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</row>
    <row r="343" spans="1:55" x14ac:dyDescent="0.25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</row>
    <row r="344" spans="1:55" x14ac:dyDescent="0.25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</row>
    <row r="345" spans="1:55" x14ac:dyDescent="0.25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</row>
    <row r="346" spans="1:55" x14ac:dyDescent="0.25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</row>
    <row r="347" spans="1:55" x14ac:dyDescent="0.25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</row>
    <row r="348" spans="1:55" x14ac:dyDescent="0.25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</row>
    <row r="349" spans="1:55" x14ac:dyDescent="0.25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</row>
    <row r="350" spans="1:55" x14ac:dyDescent="0.25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</row>
    <row r="351" spans="1:55" x14ac:dyDescent="0.25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</row>
    <row r="352" spans="1:55" x14ac:dyDescent="0.25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</row>
    <row r="353" spans="1:55" x14ac:dyDescent="0.25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</row>
    <row r="354" spans="1:55" x14ac:dyDescent="0.25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</row>
    <row r="355" spans="1:55" x14ac:dyDescent="0.25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</row>
    <row r="356" spans="1:55" x14ac:dyDescent="0.25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</row>
    <row r="357" spans="1:55" x14ac:dyDescent="0.25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</row>
    <row r="358" spans="1:55" x14ac:dyDescent="0.25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</row>
    <row r="359" spans="1:55" x14ac:dyDescent="0.25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</row>
    <row r="360" spans="1:55" x14ac:dyDescent="0.25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</row>
    <row r="361" spans="1:55" x14ac:dyDescent="0.25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</row>
    <row r="362" spans="1:55" x14ac:dyDescent="0.25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</row>
    <row r="363" spans="1:55" x14ac:dyDescent="0.25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</row>
    <row r="364" spans="1:55" x14ac:dyDescent="0.25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</row>
    <row r="365" spans="1:55" x14ac:dyDescent="0.25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</row>
    <row r="366" spans="1:55" x14ac:dyDescent="0.25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</row>
    <row r="367" spans="1:55" x14ac:dyDescent="0.25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</row>
    <row r="368" spans="1:55" x14ac:dyDescent="0.25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</row>
    <row r="369" spans="1:55" x14ac:dyDescent="0.25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</row>
    <row r="370" spans="1:55" x14ac:dyDescent="0.25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</row>
    <row r="371" spans="1:55" x14ac:dyDescent="0.25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</row>
    <row r="372" spans="1:55" x14ac:dyDescent="0.25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</row>
    <row r="373" spans="1:55" x14ac:dyDescent="0.25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</row>
    <row r="374" spans="1:55" x14ac:dyDescent="0.25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</row>
    <row r="375" spans="1:55" x14ac:dyDescent="0.25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</row>
    <row r="376" spans="1:55" x14ac:dyDescent="0.25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</row>
    <row r="377" spans="1:55" x14ac:dyDescent="0.25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</row>
    <row r="378" spans="1:55" x14ac:dyDescent="0.25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</row>
    <row r="379" spans="1:55" x14ac:dyDescent="0.25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</row>
    <row r="380" spans="1:55" x14ac:dyDescent="0.25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</row>
    <row r="381" spans="1:55" x14ac:dyDescent="0.25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</row>
    <row r="382" spans="1:55" x14ac:dyDescent="0.25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</row>
    <row r="383" spans="1:55" x14ac:dyDescent="0.25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</row>
    <row r="384" spans="1:55" x14ac:dyDescent="0.25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</row>
    <row r="385" spans="1:55" x14ac:dyDescent="0.25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</row>
    <row r="386" spans="1:55" x14ac:dyDescent="0.25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</row>
    <row r="387" spans="1:55" x14ac:dyDescent="0.25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</row>
    <row r="388" spans="1:55" x14ac:dyDescent="0.25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</row>
    <row r="389" spans="1:55" x14ac:dyDescent="0.25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</row>
    <row r="390" spans="1:55" x14ac:dyDescent="0.25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</row>
    <row r="391" spans="1:55" x14ac:dyDescent="0.25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</row>
    <row r="392" spans="1:55" x14ac:dyDescent="0.25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</row>
    <row r="393" spans="1:55" x14ac:dyDescent="0.25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</row>
    <row r="394" spans="1:55" x14ac:dyDescent="0.25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</row>
    <row r="395" spans="1:55" x14ac:dyDescent="0.25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</row>
    <row r="396" spans="1:55" x14ac:dyDescent="0.25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</row>
    <row r="397" spans="1:55" x14ac:dyDescent="0.25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</row>
    <row r="398" spans="1:55" x14ac:dyDescent="0.25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</row>
    <row r="399" spans="1:55" x14ac:dyDescent="0.25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</row>
    <row r="400" spans="1:55" x14ac:dyDescent="0.25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</row>
    <row r="401" spans="1:55" x14ac:dyDescent="0.25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</row>
    <row r="402" spans="1:55" x14ac:dyDescent="0.25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</row>
    <row r="403" spans="1:55" x14ac:dyDescent="0.25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</row>
    <row r="404" spans="1:55" x14ac:dyDescent="0.25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</row>
    <row r="405" spans="1:55" x14ac:dyDescent="0.25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</row>
    <row r="406" spans="1:55" x14ac:dyDescent="0.25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</row>
    <row r="407" spans="1:55" x14ac:dyDescent="0.25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</row>
    <row r="408" spans="1:55" x14ac:dyDescent="0.25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</row>
    <row r="409" spans="1:55" x14ac:dyDescent="0.25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</row>
    <row r="410" spans="1:55" x14ac:dyDescent="0.25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</row>
    <row r="411" spans="1:55" x14ac:dyDescent="0.25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</row>
    <row r="412" spans="1:55" x14ac:dyDescent="0.25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</row>
    <row r="413" spans="1:55" x14ac:dyDescent="0.25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</row>
    <row r="414" spans="1:55" x14ac:dyDescent="0.25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</row>
    <row r="415" spans="1:55" x14ac:dyDescent="0.25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</row>
    <row r="416" spans="1:55" x14ac:dyDescent="0.25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</row>
    <row r="417" spans="1:55" x14ac:dyDescent="0.25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</row>
    <row r="418" spans="1:55" x14ac:dyDescent="0.25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</row>
    <row r="419" spans="1:55" x14ac:dyDescent="0.25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</row>
    <row r="420" spans="1:55" x14ac:dyDescent="0.25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</row>
    <row r="421" spans="1:55" x14ac:dyDescent="0.25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</row>
    <row r="422" spans="1:55" x14ac:dyDescent="0.25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</row>
    <row r="423" spans="1:55" x14ac:dyDescent="0.25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</row>
    <row r="424" spans="1:55" x14ac:dyDescent="0.25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</row>
    <row r="425" spans="1:55" x14ac:dyDescent="0.25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</row>
    <row r="426" spans="1:55" x14ac:dyDescent="0.25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</row>
    <row r="427" spans="1:55" x14ac:dyDescent="0.25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</row>
    <row r="428" spans="1:55" x14ac:dyDescent="0.25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</row>
    <row r="429" spans="1:55" x14ac:dyDescent="0.25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</row>
    <row r="430" spans="1:55" x14ac:dyDescent="0.25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</row>
    <row r="431" spans="1:55" x14ac:dyDescent="0.25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</row>
    <row r="432" spans="1:55" x14ac:dyDescent="0.25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</row>
    <row r="433" spans="1:55" x14ac:dyDescent="0.25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</row>
    <row r="434" spans="1:55" x14ac:dyDescent="0.25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</row>
    <row r="435" spans="1:55" x14ac:dyDescent="0.25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</row>
    <row r="436" spans="1:55" x14ac:dyDescent="0.25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</row>
    <row r="437" spans="1:55" x14ac:dyDescent="0.25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</row>
    <row r="438" spans="1:55" x14ac:dyDescent="0.25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</row>
    <row r="439" spans="1:55" x14ac:dyDescent="0.25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</row>
    <row r="440" spans="1:55" x14ac:dyDescent="0.25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</row>
    <row r="441" spans="1:55" x14ac:dyDescent="0.25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</row>
    <row r="442" spans="1:55" x14ac:dyDescent="0.25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</row>
    <row r="443" spans="1:55" x14ac:dyDescent="0.25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</row>
    <row r="444" spans="1:55" x14ac:dyDescent="0.25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</row>
    <row r="445" spans="1:55" x14ac:dyDescent="0.25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</row>
    <row r="446" spans="1:55" x14ac:dyDescent="0.25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</row>
    <row r="447" spans="1:55" x14ac:dyDescent="0.25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</row>
    <row r="448" spans="1:55" x14ac:dyDescent="0.25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</row>
    <row r="449" spans="1:55" x14ac:dyDescent="0.25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</row>
    <row r="450" spans="1:55" x14ac:dyDescent="0.25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</row>
    <row r="451" spans="1:55" x14ac:dyDescent="0.25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</row>
    <row r="452" spans="1:55" x14ac:dyDescent="0.25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</row>
    <row r="453" spans="1:55" x14ac:dyDescent="0.25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</row>
    <row r="454" spans="1:55" x14ac:dyDescent="0.25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</row>
    <row r="455" spans="1:55" x14ac:dyDescent="0.25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</row>
    <row r="456" spans="1:55" x14ac:dyDescent="0.25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</row>
    <row r="457" spans="1:55" x14ac:dyDescent="0.25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</row>
    <row r="458" spans="1:55" x14ac:dyDescent="0.25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</row>
    <row r="459" spans="1:55" x14ac:dyDescent="0.25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</row>
    <row r="460" spans="1:55" x14ac:dyDescent="0.25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</row>
    <row r="461" spans="1:55" x14ac:dyDescent="0.25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</row>
    <row r="462" spans="1:55" x14ac:dyDescent="0.25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</row>
    <row r="463" spans="1:55" x14ac:dyDescent="0.25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</row>
    <row r="464" spans="1:55" x14ac:dyDescent="0.25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</row>
    <row r="465" spans="1:55" x14ac:dyDescent="0.25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</row>
    <row r="466" spans="1:55" x14ac:dyDescent="0.25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</row>
    <row r="467" spans="1:55" x14ac:dyDescent="0.25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</row>
    <row r="468" spans="1:55" x14ac:dyDescent="0.25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</row>
    <row r="469" spans="1:55" x14ac:dyDescent="0.25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</row>
    <row r="470" spans="1:55" x14ac:dyDescent="0.25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</row>
    <row r="471" spans="1:55" x14ac:dyDescent="0.25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</row>
    <row r="472" spans="1:55" x14ac:dyDescent="0.25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</row>
    <row r="473" spans="1:55" x14ac:dyDescent="0.25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</row>
    <row r="474" spans="1:55" x14ac:dyDescent="0.25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</row>
    <row r="475" spans="1:55" x14ac:dyDescent="0.25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</row>
    <row r="476" spans="1:55" x14ac:dyDescent="0.25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</row>
    <row r="477" spans="1:55" x14ac:dyDescent="0.25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</row>
    <row r="478" spans="1:55" x14ac:dyDescent="0.25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</row>
    <row r="479" spans="1:55" x14ac:dyDescent="0.25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</row>
    <row r="480" spans="1:55" x14ac:dyDescent="0.25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</row>
    <row r="481" spans="1:55" x14ac:dyDescent="0.25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</row>
    <row r="482" spans="1:55" x14ac:dyDescent="0.25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</row>
    <row r="483" spans="1:55" x14ac:dyDescent="0.25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</row>
    <row r="484" spans="1:55" x14ac:dyDescent="0.25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</row>
    <row r="485" spans="1:55" x14ac:dyDescent="0.25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</row>
    <row r="486" spans="1:55" x14ac:dyDescent="0.25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</row>
    <row r="487" spans="1:55" x14ac:dyDescent="0.25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</row>
    <row r="488" spans="1:55" x14ac:dyDescent="0.25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</row>
    <row r="489" spans="1:55" x14ac:dyDescent="0.25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</row>
    <row r="490" spans="1:55" x14ac:dyDescent="0.25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</row>
    <row r="491" spans="1:55" x14ac:dyDescent="0.25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</row>
    <row r="492" spans="1:55" x14ac:dyDescent="0.25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</row>
    <row r="493" spans="1:55" x14ac:dyDescent="0.25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</row>
    <row r="494" spans="1:55" x14ac:dyDescent="0.25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</row>
    <row r="495" spans="1:55" x14ac:dyDescent="0.25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</row>
    <row r="496" spans="1:55" x14ac:dyDescent="0.25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</row>
    <row r="497" spans="1:55" x14ac:dyDescent="0.25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</row>
    <row r="498" spans="1:55" x14ac:dyDescent="0.25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</row>
    <row r="499" spans="1:55" x14ac:dyDescent="0.25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</row>
    <row r="500" spans="1:55" x14ac:dyDescent="0.25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</row>
    <row r="501" spans="1:55" x14ac:dyDescent="0.25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</row>
    <row r="502" spans="1:55" x14ac:dyDescent="0.25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</row>
    <row r="503" spans="1:55" x14ac:dyDescent="0.25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</row>
    <row r="504" spans="1:55" x14ac:dyDescent="0.25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</row>
    <row r="505" spans="1:55" x14ac:dyDescent="0.25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</row>
    <row r="506" spans="1:55" x14ac:dyDescent="0.25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</row>
    <row r="507" spans="1:55" x14ac:dyDescent="0.25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</row>
    <row r="508" spans="1:55" x14ac:dyDescent="0.25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</row>
    <row r="509" spans="1:55" x14ac:dyDescent="0.25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</row>
    <row r="510" spans="1:55" x14ac:dyDescent="0.25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</row>
    <row r="511" spans="1:55" x14ac:dyDescent="0.25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</row>
    <row r="512" spans="1:55" x14ac:dyDescent="0.25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</row>
    <row r="513" spans="1:55" x14ac:dyDescent="0.25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</row>
    <row r="514" spans="1:55" x14ac:dyDescent="0.25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</row>
    <row r="515" spans="1:55" x14ac:dyDescent="0.25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</row>
    <row r="516" spans="1:55" x14ac:dyDescent="0.25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</row>
    <row r="517" spans="1:55" x14ac:dyDescent="0.25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</row>
    <row r="518" spans="1:55" x14ac:dyDescent="0.25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</row>
    <row r="519" spans="1:55" x14ac:dyDescent="0.25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</row>
    <row r="520" spans="1:55" x14ac:dyDescent="0.25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</row>
    <row r="521" spans="1:55" x14ac:dyDescent="0.25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</row>
    <row r="522" spans="1:55" x14ac:dyDescent="0.25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</row>
    <row r="523" spans="1:55" x14ac:dyDescent="0.25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</row>
    <row r="524" spans="1:55" x14ac:dyDescent="0.25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</row>
    <row r="525" spans="1:55" x14ac:dyDescent="0.25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</row>
    <row r="526" spans="1:55" x14ac:dyDescent="0.25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</row>
    <row r="527" spans="1:55" x14ac:dyDescent="0.25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</row>
    <row r="528" spans="1:55" x14ac:dyDescent="0.25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</row>
    <row r="529" spans="1:55" x14ac:dyDescent="0.25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</row>
    <row r="530" spans="1:55" x14ac:dyDescent="0.25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</row>
    <row r="531" spans="1:55" x14ac:dyDescent="0.25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</row>
    <row r="532" spans="1:55" x14ac:dyDescent="0.25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</row>
    <row r="533" spans="1:55" x14ac:dyDescent="0.25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</row>
    <row r="534" spans="1:55" x14ac:dyDescent="0.25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</row>
    <row r="535" spans="1:55" x14ac:dyDescent="0.25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</row>
    <row r="536" spans="1:55" x14ac:dyDescent="0.25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</row>
    <row r="537" spans="1:55" x14ac:dyDescent="0.25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</row>
    <row r="538" spans="1:55" x14ac:dyDescent="0.25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</row>
    <row r="539" spans="1:55" x14ac:dyDescent="0.25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</row>
    <row r="540" spans="1:55" x14ac:dyDescent="0.25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</row>
    <row r="541" spans="1:55" x14ac:dyDescent="0.25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</row>
    <row r="542" spans="1:55" x14ac:dyDescent="0.25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</row>
    <row r="543" spans="1:55" x14ac:dyDescent="0.25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</row>
    <row r="544" spans="1:55" x14ac:dyDescent="0.25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</row>
    <row r="545" spans="1:55" x14ac:dyDescent="0.25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</row>
    <row r="546" spans="1:55" x14ac:dyDescent="0.25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</row>
    <row r="547" spans="1:55" x14ac:dyDescent="0.25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</row>
    <row r="548" spans="1:55" x14ac:dyDescent="0.25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</row>
    <row r="549" spans="1:55" x14ac:dyDescent="0.25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</row>
    <row r="550" spans="1:55" x14ac:dyDescent="0.25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</row>
    <row r="551" spans="1:55" x14ac:dyDescent="0.25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</row>
    <row r="552" spans="1:55" x14ac:dyDescent="0.25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</row>
    <row r="553" spans="1:55" x14ac:dyDescent="0.25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</row>
    <row r="554" spans="1:55" x14ac:dyDescent="0.25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</row>
    <row r="555" spans="1:55" x14ac:dyDescent="0.25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</row>
    <row r="556" spans="1:55" x14ac:dyDescent="0.25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</row>
    <row r="557" spans="1:55" x14ac:dyDescent="0.25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</row>
    <row r="558" spans="1:55" x14ac:dyDescent="0.25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</row>
    <row r="559" spans="1:55" x14ac:dyDescent="0.25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</row>
    <row r="560" spans="1:55" x14ac:dyDescent="0.25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</row>
    <row r="561" spans="1:55" x14ac:dyDescent="0.25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</row>
    <row r="562" spans="1:55" x14ac:dyDescent="0.25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</row>
    <row r="563" spans="1:55" x14ac:dyDescent="0.25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</row>
    <row r="564" spans="1:55" x14ac:dyDescent="0.25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</row>
    <row r="565" spans="1:55" x14ac:dyDescent="0.25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</row>
    <row r="566" spans="1:55" x14ac:dyDescent="0.25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</row>
    <row r="567" spans="1:55" x14ac:dyDescent="0.25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</row>
    <row r="568" spans="1:55" x14ac:dyDescent="0.25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</row>
    <row r="569" spans="1:55" x14ac:dyDescent="0.25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</row>
    <row r="570" spans="1:55" x14ac:dyDescent="0.25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</row>
    <row r="571" spans="1:55" x14ac:dyDescent="0.25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</row>
    <row r="572" spans="1:55" x14ac:dyDescent="0.25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</row>
    <row r="573" spans="1:55" x14ac:dyDescent="0.25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</row>
    <row r="574" spans="1:55" x14ac:dyDescent="0.25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</row>
    <row r="575" spans="1:55" x14ac:dyDescent="0.25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</row>
    <row r="576" spans="1:55" x14ac:dyDescent="0.25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</row>
    <row r="577" spans="1:55" x14ac:dyDescent="0.25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</row>
    <row r="578" spans="1:55" x14ac:dyDescent="0.25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</row>
    <row r="579" spans="1:55" x14ac:dyDescent="0.25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</row>
    <row r="580" spans="1:55" x14ac:dyDescent="0.25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</row>
    <row r="581" spans="1:55" x14ac:dyDescent="0.25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</row>
    <row r="582" spans="1:55" x14ac:dyDescent="0.25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</row>
    <row r="583" spans="1:55" x14ac:dyDescent="0.25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</row>
    <row r="584" spans="1:55" x14ac:dyDescent="0.25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</row>
    <row r="585" spans="1:55" x14ac:dyDescent="0.25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</row>
    <row r="586" spans="1:55" x14ac:dyDescent="0.25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</row>
    <row r="587" spans="1:55" x14ac:dyDescent="0.25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</row>
    <row r="588" spans="1:55" x14ac:dyDescent="0.25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</row>
    <row r="589" spans="1:55" x14ac:dyDescent="0.25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</row>
    <row r="590" spans="1:55" x14ac:dyDescent="0.25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</row>
    <row r="591" spans="1:55" x14ac:dyDescent="0.25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</row>
    <row r="592" spans="1:55" x14ac:dyDescent="0.25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</row>
    <row r="593" spans="1:55" x14ac:dyDescent="0.25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</row>
    <row r="594" spans="1:55" x14ac:dyDescent="0.25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</row>
    <row r="595" spans="1:55" x14ac:dyDescent="0.25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</row>
    <row r="596" spans="1:55" x14ac:dyDescent="0.25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</row>
    <row r="597" spans="1:55" x14ac:dyDescent="0.25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</row>
    <row r="598" spans="1:55" x14ac:dyDescent="0.25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</row>
    <row r="599" spans="1:55" x14ac:dyDescent="0.25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</row>
    <row r="600" spans="1:55" x14ac:dyDescent="0.25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</row>
    <row r="601" spans="1:55" x14ac:dyDescent="0.25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</row>
    <row r="602" spans="1:55" x14ac:dyDescent="0.25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</row>
    <row r="603" spans="1:55" x14ac:dyDescent="0.25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</row>
    <row r="604" spans="1:55" x14ac:dyDescent="0.25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</row>
    <row r="605" spans="1:55" x14ac:dyDescent="0.25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</row>
    <row r="606" spans="1:55" x14ac:dyDescent="0.25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</row>
    <row r="607" spans="1:55" x14ac:dyDescent="0.25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</row>
    <row r="608" spans="1:55" x14ac:dyDescent="0.25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</row>
    <row r="609" spans="1:55" x14ac:dyDescent="0.25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</row>
    <row r="610" spans="1:55" x14ac:dyDescent="0.25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</row>
    <row r="611" spans="1:55" x14ac:dyDescent="0.25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</row>
    <row r="612" spans="1:55" x14ac:dyDescent="0.25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</row>
    <row r="613" spans="1:55" x14ac:dyDescent="0.25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</row>
    <row r="614" spans="1:55" x14ac:dyDescent="0.25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</row>
    <row r="615" spans="1:55" x14ac:dyDescent="0.25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</row>
    <row r="616" spans="1:55" x14ac:dyDescent="0.25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</row>
    <row r="617" spans="1:55" x14ac:dyDescent="0.25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</row>
    <row r="618" spans="1:55" x14ac:dyDescent="0.25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</row>
    <row r="619" spans="1:55" x14ac:dyDescent="0.25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</row>
    <row r="620" spans="1:55" x14ac:dyDescent="0.25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</row>
    <row r="621" spans="1:55" x14ac:dyDescent="0.25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</row>
    <row r="622" spans="1:55" x14ac:dyDescent="0.25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</row>
    <row r="623" spans="1:55" x14ac:dyDescent="0.25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</row>
    <row r="624" spans="1:55" x14ac:dyDescent="0.25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</row>
    <row r="625" spans="1:55" x14ac:dyDescent="0.25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</row>
    <row r="626" spans="1:55" x14ac:dyDescent="0.25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</row>
    <row r="627" spans="1:55" x14ac:dyDescent="0.25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</row>
    <row r="628" spans="1:55" x14ac:dyDescent="0.25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</row>
    <row r="629" spans="1:55" x14ac:dyDescent="0.25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</row>
    <row r="630" spans="1:55" x14ac:dyDescent="0.25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</row>
    <row r="631" spans="1:55" x14ac:dyDescent="0.25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</row>
    <row r="632" spans="1:55" x14ac:dyDescent="0.25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</row>
    <row r="633" spans="1:55" x14ac:dyDescent="0.25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</row>
    <row r="634" spans="1:55" x14ac:dyDescent="0.25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</row>
    <row r="635" spans="1:55" x14ac:dyDescent="0.25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</row>
    <row r="636" spans="1:55" x14ac:dyDescent="0.25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</row>
    <row r="637" spans="1:55" x14ac:dyDescent="0.25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</row>
    <row r="638" spans="1:55" x14ac:dyDescent="0.25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</row>
    <row r="639" spans="1:55" x14ac:dyDescent="0.25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</row>
    <row r="640" spans="1:55" x14ac:dyDescent="0.25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</row>
    <row r="641" spans="1:55" x14ac:dyDescent="0.25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</row>
    <row r="642" spans="1:55" x14ac:dyDescent="0.25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</row>
    <row r="643" spans="1:55" x14ac:dyDescent="0.25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</row>
    <row r="644" spans="1:55" x14ac:dyDescent="0.25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</row>
    <row r="645" spans="1:55" x14ac:dyDescent="0.25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</row>
    <row r="646" spans="1:55" x14ac:dyDescent="0.25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</row>
    <row r="647" spans="1:55" x14ac:dyDescent="0.25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</row>
    <row r="648" spans="1:55" x14ac:dyDescent="0.25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</row>
    <row r="649" spans="1:55" x14ac:dyDescent="0.25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</row>
    <row r="650" spans="1:55" x14ac:dyDescent="0.25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</row>
    <row r="651" spans="1:55" x14ac:dyDescent="0.25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</row>
    <row r="652" spans="1:55" x14ac:dyDescent="0.25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</row>
    <row r="653" spans="1:55" x14ac:dyDescent="0.25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</row>
    <row r="654" spans="1:55" x14ac:dyDescent="0.25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</row>
    <row r="655" spans="1:55" x14ac:dyDescent="0.25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</row>
    <row r="656" spans="1:55" x14ac:dyDescent="0.25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</row>
    <row r="657" spans="1:55" x14ac:dyDescent="0.25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</row>
    <row r="658" spans="1:55" x14ac:dyDescent="0.25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</row>
    <row r="659" spans="1:55" x14ac:dyDescent="0.25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</row>
    <row r="660" spans="1:55" x14ac:dyDescent="0.25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</row>
    <row r="661" spans="1:55" x14ac:dyDescent="0.25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</row>
    <row r="662" spans="1:55" x14ac:dyDescent="0.25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</row>
    <row r="663" spans="1:55" x14ac:dyDescent="0.25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</row>
    <row r="664" spans="1:55" x14ac:dyDescent="0.25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</row>
    <row r="665" spans="1:55" x14ac:dyDescent="0.25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</row>
    <row r="666" spans="1:55" x14ac:dyDescent="0.25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</row>
    <row r="667" spans="1:55" x14ac:dyDescent="0.25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</row>
    <row r="668" spans="1:55" x14ac:dyDescent="0.25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</row>
    <row r="669" spans="1:55" x14ac:dyDescent="0.25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</row>
    <row r="670" spans="1:55" x14ac:dyDescent="0.25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</row>
    <row r="671" spans="1:55" x14ac:dyDescent="0.25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</row>
    <row r="672" spans="1:55" x14ac:dyDescent="0.25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</row>
    <row r="673" spans="1:55" x14ac:dyDescent="0.25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</row>
    <row r="674" spans="1:55" x14ac:dyDescent="0.25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</row>
    <row r="675" spans="1:55" x14ac:dyDescent="0.25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</row>
    <row r="676" spans="1:55" x14ac:dyDescent="0.25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</row>
    <row r="677" spans="1:55" x14ac:dyDescent="0.25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</row>
    <row r="678" spans="1:55" x14ac:dyDescent="0.25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</row>
    <row r="679" spans="1:55" x14ac:dyDescent="0.25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</row>
    <row r="680" spans="1:55" x14ac:dyDescent="0.25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</row>
    <row r="681" spans="1:55" x14ac:dyDescent="0.25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</row>
    <row r="682" spans="1:55" x14ac:dyDescent="0.25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</row>
    <row r="683" spans="1:55" x14ac:dyDescent="0.25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</row>
    <row r="684" spans="1:55" x14ac:dyDescent="0.25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</row>
    <row r="685" spans="1:55" x14ac:dyDescent="0.25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</row>
    <row r="686" spans="1:55" x14ac:dyDescent="0.25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</row>
    <row r="687" spans="1:55" x14ac:dyDescent="0.25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</row>
    <row r="688" spans="1:55" x14ac:dyDescent="0.25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</row>
    <row r="689" spans="1:55" x14ac:dyDescent="0.25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</row>
    <row r="690" spans="1:55" x14ac:dyDescent="0.25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</row>
    <row r="691" spans="1:55" x14ac:dyDescent="0.25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</row>
    <row r="692" spans="1:55" x14ac:dyDescent="0.25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</row>
    <row r="693" spans="1:55" x14ac:dyDescent="0.25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</row>
    <row r="694" spans="1:55" x14ac:dyDescent="0.25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</row>
    <row r="695" spans="1:55" x14ac:dyDescent="0.25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</row>
    <row r="696" spans="1:55" x14ac:dyDescent="0.25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</row>
    <row r="697" spans="1:55" x14ac:dyDescent="0.25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</row>
    <row r="698" spans="1:55" x14ac:dyDescent="0.25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</row>
    <row r="699" spans="1:55" x14ac:dyDescent="0.25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</row>
    <row r="700" spans="1:55" x14ac:dyDescent="0.25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</row>
    <row r="701" spans="1:55" x14ac:dyDescent="0.25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</row>
    <row r="702" spans="1:55" x14ac:dyDescent="0.25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</row>
    <row r="703" spans="1:55" x14ac:dyDescent="0.25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</row>
    <row r="704" spans="1:55" x14ac:dyDescent="0.25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</row>
    <row r="705" spans="1:55" x14ac:dyDescent="0.25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</row>
    <row r="706" spans="1:55" x14ac:dyDescent="0.25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</row>
    <row r="707" spans="1:55" x14ac:dyDescent="0.25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</row>
    <row r="708" spans="1:55" x14ac:dyDescent="0.25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</row>
    <row r="709" spans="1:55" x14ac:dyDescent="0.25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</row>
    <row r="710" spans="1:55" x14ac:dyDescent="0.25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</row>
    <row r="711" spans="1:55" x14ac:dyDescent="0.25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</row>
    <row r="712" spans="1:55" x14ac:dyDescent="0.25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</row>
    <row r="713" spans="1:55" x14ac:dyDescent="0.25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</row>
    <row r="714" spans="1:55" x14ac:dyDescent="0.25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</row>
    <row r="715" spans="1:55" x14ac:dyDescent="0.25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</row>
    <row r="716" spans="1:55" x14ac:dyDescent="0.25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</row>
    <row r="717" spans="1:55" x14ac:dyDescent="0.25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</row>
    <row r="718" spans="1:55" x14ac:dyDescent="0.25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</row>
    <row r="719" spans="1:55" x14ac:dyDescent="0.25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</row>
    <row r="720" spans="1:55" x14ac:dyDescent="0.25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</row>
    <row r="721" spans="1:55" x14ac:dyDescent="0.25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</row>
    <row r="722" spans="1:55" x14ac:dyDescent="0.25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</row>
    <row r="723" spans="1:55" x14ac:dyDescent="0.25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</row>
    <row r="724" spans="1:55" x14ac:dyDescent="0.25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</row>
    <row r="725" spans="1:55" x14ac:dyDescent="0.25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</row>
    <row r="726" spans="1:55" x14ac:dyDescent="0.25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</row>
    <row r="727" spans="1:55" x14ac:dyDescent="0.25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</row>
    <row r="728" spans="1:55" x14ac:dyDescent="0.25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</row>
    <row r="729" spans="1:55" x14ac:dyDescent="0.25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</row>
    <row r="730" spans="1:55" x14ac:dyDescent="0.25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</row>
    <row r="731" spans="1:55" x14ac:dyDescent="0.25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</row>
    <row r="732" spans="1:55" x14ac:dyDescent="0.25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</row>
    <row r="733" spans="1:55" x14ac:dyDescent="0.25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</row>
    <row r="734" spans="1:55" x14ac:dyDescent="0.25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</row>
    <row r="735" spans="1:55" x14ac:dyDescent="0.25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</row>
    <row r="736" spans="1:55" x14ac:dyDescent="0.25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</row>
    <row r="737" spans="1:55" x14ac:dyDescent="0.25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</row>
    <row r="738" spans="1:55" x14ac:dyDescent="0.25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</row>
    <row r="739" spans="1:55" x14ac:dyDescent="0.25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</row>
    <row r="740" spans="1:55" x14ac:dyDescent="0.25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</row>
    <row r="741" spans="1:55" x14ac:dyDescent="0.25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</row>
    <row r="742" spans="1:55" x14ac:dyDescent="0.25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</row>
    <row r="743" spans="1:55" x14ac:dyDescent="0.25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</row>
    <row r="744" spans="1:55" x14ac:dyDescent="0.25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</row>
    <row r="745" spans="1:55" x14ac:dyDescent="0.25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</row>
    <row r="746" spans="1:55" x14ac:dyDescent="0.25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</row>
    <row r="747" spans="1:55" x14ac:dyDescent="0.25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</row>
    <row r="748" spans="1:55" x14ac:dyDescent="0.25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</row>
    <row r="749" spans="1:55" x14ac:dyDescent="0.25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</row>
  </sheetData>
  <sheetProtection password="C75E" sheet="1"/>
  <mergeCells count="5">
    <mergeCell ref="B8:C8"/>
    <mergeCell ref="D8:E8"/>
    <mergeCell ref="F8:G8"/>
    <mergeCell ref="A30:G30"/>
    <mergeCell ref="A25:G25"/>
  </mergeCells>
  <hyperlinks>
    <hyperlink ref="A2" location="Etusivu!A1" tooltip="Tästä pääset etusivulle" display="Etusivu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13</vt:i4>
      </vt:variant>
      <vt:variant>
        <vt:lpstr>Nimetyt alueet</vt:lpstr>
      </vt:variant>
      <vt:variant>
        <vt:i4>12</vt:i4>
      </vt:variant>
    </vt:vector>
  </HeadingPairs>
  <TitlesOfParts>
    <vt:vector size="25" baseType="lpstr">
      <vt:lpstr>Etusivu</vt:lpstr>
      <vt:lpstr>Pyöreät kanavat ja osat</vt:lpstr>
      <vt:lpstr>Suorakaidekanavat</vt:lpstr>
      <vt:lpstr>Venttiilit</vt:lpstr>
      <vt:lpstr>Ilmanvaihtokoneet</vt:lpstr>
      <vt:lpstr>Pienkojeet</vt:lpstr>
      <vt:lpstr>Aksiaalipuhaltimet</vt:lpstr>
      <vt:lpstr>Lyhenteitä</vt:lpstr>
      <vt:lpstr>Urakkatunnit</vt:lpstr>
      <vt:lpstr>Välipohjat</vt:lpstr>
      <vt:lpstr>NHK muuttuu kesken urakan</vt:lpstr>
      <vt:lpstr>Etumieslisä</vt:lpstr>
      <vt:lpstr>Jakolista</vt:lpstr>
      <vt:lpstr>Aksiaalipuhaltimet!Tulostusalue</vt:lpstr>
      <vt:lpstr>Etumieslisä!Tulostusalue</vt:lpstr>
      <vt:lpstr>Etusivu!Tulostusalue</vt:lpstr>
      <vt:lpstr>Ilmanvaihtokoneet!Tulostusalue</vt:lpstr>
      <vt:lpstr>Jakolista!Tulostusalue</vt:lpstr>
      <vt:lpstr>'NHK muuttuu kesken urakan'!Tulostusalue</vt:lpstr>
      <vt:lpstr>Pienkojeet!Tulostusalue</vt:lpstr>
      <vt:lpstr>'Pyöreät kanavat ja osat'!Tulostusalue</vt:lpstr>
      <vt:lpstr>Suorakaidekanavat!Tulostusalue</vt:lpstr>
      <vt:lpstr>Urakkatunnit!Tulostusalue</vt:lpstr>
      <vt:lpstr>Venttiilit!Tulostusalue</vt:lpstr>
      <vt:lpstr>Välipohjat!Tulostusalue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IV- käsinlaskenta</dc:subject>
  <dc:creator>Räsänen Niko</dc:creator>
  <cp:lastModifiedBy>Niko Räsänen</cp:lastModifiedBy>
  <cp:lastPrinted>2023-05-03T10:16:17Z</cp:lastPrinted>
  <dcterms:created xsi:type="dcterms:W3CDTF">2003-02-04T05:32:59Z</dcterms:created>
  <dcterms:modified xsi:type="dcterms:W3CDTF">2023-08-18T09:35:41Z</dcterms:modified>
</cp:coreProperties>
</file>