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kennusliittory-my.sharepoint.com/personal/niko_rasanen_rakennusliitto_fi/Documents/Työpöytä/Urakkalaskureiden päivittäminen/2025/Ilmastointi/12.8.2025/"/>
    </mc:Choice>
  </mc:AlternateContent>
  <xr:revisionPtr revIDLastSave="25" documentId="8_{969B9B46-91E1-45C7-A17E-6488BAA91257}" xr6:coauthVersionLast="47" xr6:coauthVersionMax="47" xr10:uidLastSave="{F2CD356B-F5DE-4951-87E3-73BF9E3CA4A0}"/>
  <bookViews>
    <workbookView xWindow="10740" yWindow="0" windowWidth="27720" windowHeight="20985" tabRatio="970" xr2:uid="{00000000-000D-0000-FFFF-FFFF00000000}"/>
  </bookViews>
  <sheets>
    <sheet name="Etusivu" sheetId="10" r:id="rId1"/>
    <sheet name="Pyöreät kanavat ja osat" sheetId="14" r:id="rId2"/>
    <sheet name="Suorakaidekanavat" sheetId="12" r:id="rId3"/>
    <sheet name="Venttiilit" sheetId="9" r:id="rId4"/>
    <sheet name="Ilmanvaihtokoneet" sheetId="7" r:id="rId5"/>
    <sheet name="Pienkojeet" sheetId="2" r:id="rId6"/>
    <sheet name="Aksiaalipuhaltimet" sheetId="15" r:id="rId7"/>
    <sheet name="Lyhenteitä" sheetId="1" r:id="rId8"/>
    <sheet name="Urakkatunnit" sheetId="17" r:id="rId9"/>
    <sheet name="Välipohjat" sheetId="18" r:id="rId10"/>
    <sheet name="NHK muuttuu kesken urakan" sheetId="19" r:id="rId11"/>
    <sheet name="Etumieslisä" sheetId="20" r:id="rId12"/>
    <sheet name="Jakolista" sheetId="21" r:id="rId13"/>
  </sheets>
  <definedNames>
    <definedName name="_xlnm.Print_Area" localSheetId="6">Aksiaalipuhaltimet!$A$1:$Q$155</definedName>
    <definedName name="_xlnm.Print_Area" localSheetId="11">Etumieslisä!$A$1:$N$42</definedName>
    <definedName name="_xlnm.Print_Area" localSheetId="0">Etusivu!$A$33:$S$582</definedName>
    <definedName name="_xlnm.Print_Area" localSheetId="4">Ilmanvaihtokoneet!$A$1:$Q$83</definedName>
    <definedName name="_xlnm.Print_Area" localSheetId="12">Jakolista!$A$1:$N$49</definedName>
    <definedName name="_xlnm.Print_Area" localSheetId="10">'NHK muuttuu kesken urakan'!$A$1:$N$34</definedName>
    <definedName name="_xlnm.Print_Area" localSheetId="5">Pienkojeet!$A$1:$R$93</definedName>
    <definedName name="_xlnm.Print_Area" localSheetId="1">'Pyöreät kanavat ja osat'!$A$2:$U$192</definedName>
    <definedName name="_xlnm.Print_Area" localSheetId="2">Suorakaidekanavat!$A$1:$S$116</definedName>
    <definedName name="_xlnm.Print_Area" localSheetId="8">Urakkatunnit!$A$1:$K$42</definedName>
    <definedName name="_xlnm.Print_Area" localSheetId="3">Venttiilit!$A$1:$R$123</definedName>
    <definedName name="_xlnm.Print_Area" localSheetId="9">Välipohjat!$A$1:$N$42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4" i="2" l="1"/>
  <c r="Q84" i="2" s="1"/>
  <c r="Q335" i="10" s="1"/>
  <c r="R335" i="10" s="1"/>
  <c r="O85" i="2"/>
  <c r="Q85" i="2" s="1"/>
  <c r="Q336" i="10" s="1"/>
  <c r="R336" i="10" s="1"/>
  <c r="O68" i="2"/>
  <c r="Q68" i="2" s="1"/>
  <c r="N335" i="10" s="1"/>
  <c r="O335" i="10" s="1"/>
  <c r="O69" i="2"/>
  <c r="Q69" i="2" s="1"/>
  <c r="N336" i="10" s="1"/>
  <c r="O336" i="10" s="1"/>
  <c r="S116" i="12"/>
  <c r="Q147" i="10" s="1"/>
  <c r="R147" i="10" s="1"/>
  <c r="U159" i="14"/>
  <c r="Q118" i="10" s="1"/>
  <c r="R118" i="10" s="1"/>
  <c r="S451" i="10" l="1"/>
  <c r="J451" i="10"/>
  <c r="S450" i="10"/>
  <c r="J450" i="10"/>
  <c r="S449" i="10"/>
  <c r="J449" i="10"/>
  <c r="S448" i="10"/>
  <c r="J448" i="10"/>
  <c r="S447" i="10"/>
  <c r="J447" i="10"/>
  <c r="S446" i="10"/>
  <c r="J446" i="10"/>
  <c r="S445" i="10"/>
  <c r="J445" i="10"/>
  <c r="S444" i="10"/>
  <c r="J444" i="10"/>
  <c r="S443" i="10"/>
  <c r="J443" i="10"/>
  <c r="S442" i="10"/>
  <c r="J442" i="10"/>
  <c r="S441" i="10"/>
  <c r="J441" i="10"/>
  <c r="S440" i="10"/>
  <c r="J440" i="10"/>
  <c r="S439" i="10"/>
  <c r="J439" i="10"/>
  <c r="S438" i="10"/>
  <c r="J438" i="10"/>
  <c r="S437" i="10"/>
  <c r="J437" i="10"/>
  <c r="S436" i="10"/>
  <c r="J436" i="10"/>
  <c r="S435" i="10"/>
  <c r="J435" i="10"/>
  <c r="S434" i="10"/>
  <c r="J434" i="10"/>
  <c r="S433" i="10"/>
  <c r="J433" i="10"/>
  <c r="S432" i="10"/>
  <c r="J432" i="10"/>
  <c r="S431" i="10"/>
  <c r="J431" i="10"/>
  <c r="S430" i="10"/>
  <c r="J430" i="10"/>
  <c r="S429" i="10"/>
  <c r="J429" i="10"/>
  <c r="S428" i="10"/>
  <c r="J428" i="10"/>
  <c r="S427" i="10"/>
  <c r="J427" i="10"/>
  <c r="S426" i="10"/>
  <c r="J426" i="10"/>
  <c r="S425" i="10"/>
  <c r="J425" i="10"/>
  <c r="S424" i="10"/>
  <c r="J424" i="10"/>
  <c r="S423" i="10"/>
  <c r="J423" i="10"/>
  <c r="S422" i="10"/>
  <c r="J422" i="10"/>
  <c r="S421" i="10"/>
  <c r="J421" i="10"/>
  <c r="S420" i="10"/>
  <c r="J420" i="10"/>
  <c r="S419" i="10"/>
  <c r="J419" i="10"/>
  <c r="S418" i="10"/>
  <c r="J418" i="10"/>
  <c r="J463" i="10"/>
  <c r="S463" i="10"/>
  <c r="J464" i="10"/>
  <c r="S464" i="10"/>
  <c r="J465" i="10"/>
  <c r="S465" i="10"/>
  <c r="J466" i="10"/>
  <c r="S466" i="10"/>
  <c r="J467" i="10"/>
  <c r="S467" i="10"/>
  <c r="J468" i="10"/>
  <c r="S468" i="10"/>
  <c r="J469" i="10"/>
  <c r="S469" i="10"/>
  <c r="J470" i="10"/>
  <c r="S470" i="10"/>
  <c r="J471" i="10"/>
  <c r="S471" i="10"/>
  <c r="J472" i="10"/>
  <c r="S472" i="10"/>
  <c r="J473" i="10"/>
  <c r="S473" i="10"/>
  <c r="J474" i="10"/>
  <c r="S474" i="10"/>
  <c r="J475" i="10"/>
  <c r="S475" i="10"/>
  <c r="J476" i="10"/>
  <c r="S476" i="10"/>
  <c r="J477" i="10"/>
  <c r="S477" i="10"/>
  <c r="J478" i="10"/>
  <c r="S478" i="10"/>
  <c r="J479" i="10"/>
  <c r="S479" i="10"/>
  <c r="S191" i="14"/>
  <c r="U191" i="14" s="1"/>
  <c r="M127" i="10" s="1"/>
  <c r="O39" i="2"/>
  <c r="Q39" i="2" s="1"/>
  <c r="F335" i="10" s="1"/>
  <c r="G335" i="10" s="1"/>
  <c r="O38" i="2"/>
  <c r="Q38" i="2" s="1"/>
  <c r="F334" i="10" s="1"/>
  <c r="G334" i="10" s="1"/>
  <c r="O37" i="2"/>
  <c r="Q37" i="2" s="1"/>
  <c r="F333" i="10" s="1"/>
  <c r="G333" i="10" s="1"/>
  <c r="O36" i="2"/>
  <c r="Q36" i="2" s="1"/>
  <c r="F332" i="10" s="1"/>
  <c r="G332" i="10" s="1"/>
  <c r="O35" i="2"/>
  <c r="Q35" i="2" s="1"/>
  <c r="F331" i="10" s="1"/>
  <c r="G331" i="10" s="1"/>
  <c r="O34" i="2"/>
  <c r="Q34" i="2" s="1"/>
  <c r="F330" i="10" s="1"/>
  <c r="G330" i="10" s="1"/>
  <c r="J452" i="10" l="1"/>
  <c r="S452" i="10"/>
  <c r="R454" i="10" s="1"/>
  <c r="G337" i="10"/>
  <c r="O77" i="2"/>
  <c r="Q328" i="10" s="1"/>
  <c r="R328" i="10" s="1"/>
  <c r="O78" i="2"/>
  <c r="Q329" i="10" s="1"/>
  <c r="R329" i="10" s="1"/>
  <c r="O79" i="2"/>
  <c r="Q79" i="2" s="1"/>
  <c r="O80" i="2"/>
  <c r="Q331" i="10" s="1"/>
  <c r="R331" i="10" s="1"/>
  <c r="O81" i="2"/>
  <c r="Q332" i="10" s="1"/>
  <c r="R332" i="10" s="1"/>
  <c r="O82" i="2"/>
  <c r="Q82" i="2" s="1"/>
  <c r="O83" i="2"/>
  <c r="O76" i="2"/>
  <c r="Q327" i="10" s="1"/>
  <c r="R327" i="10" s="1"/>
  <c r="O60" i="2"/>
  <c r="Q60" i="2" s="1"/>
  <c r="N327" i="10" s="1"/>
  <c r="O327" i="10" s="1"/>
  <c r="O67" i="2"/>
  <c r="Q67" i="2" s="1"/>
  <c r="N334" i="10" s="1"/>
  <c r="O334" i="10" s="1"/>
  <c r="O66" i="2"/>
  <c r="Q66" i="2" s="1"/>
  <c r="N333" i="10" s="1"/>
  <c r="O333" i="10" s="1"/>
  <c r="O65" i="2"/>
  <c r="Q65" i="2" s="1"/>
  <c r="N332" i="10" s="1"/>
  <c r="O332" i="10" s="1"/>
  <c r="O64" i="2"/>
  <c r="Q64" i="2" s="1"/>
  <c r="N331" i="10" s="1"/>
  <c r="O331" i="10" s="1"/>
  <c r="O63" i="2"/>
  <c r="Q63" i="2" s="1"/>
  <c r="N330" i="10" s="1"/>
  <c r="O330" i="10" s="1"/>
  <c r="O62" i="2"/>
  <c r="Q62" i="2" s="1"/>
  <c r="N329" i="10" s="1"/>
  <c r="O329" i="10" s="1"/>
  <c r="O61" i="2"/>
  <c r="Q61" i="2" s="1"/>
  <c r="N328" i="10" s="1"/>
  <c r="O328" i="10" s="1"/>
  <c r="F35" i="17"/>
  <c r="E8" i="19"/>
  <c r="B17" i="19" s="1"/>
  <c r="G13" i="20"/>
  <c r="I13" i="20"/>
  <c r="G12" i="20"/>
  <c r="I12" i="20" s="1"/>
  <c r="G11" i="20"/>
  <c r="I11" i="20"/>
  <c r="G10" i="20"/>
  <c r="I10" i="20" s="1"/>
  <c r="M23" i="18"/>
  <c r="H29" i="21"/>
  <c r="M24" i="18"/>
  <c r="H30" i="21" s="1"/>
  <c r="M25" i="18"/>
  <c r="H31" i="21"/>
  <c r="M22" i="18"/>
  <c r="H28" i="21" s="1"/>
  <c r="M9" i="18"/>
  <c r="H14" i="21" s="1"/>
  <c r="J14" i="21" s="1"/>
  <c r="M10" i="18"/>
  <c r="H15" i="21" s="1"/>
  <c r="M11" i="18"/>
  <c r="H16" i="21" s="1"/>
  <c r="M12" i="18"/>
  <c r="H17" i="21"/>
  <c r="M13" i="18"/>
  <c r="H18" i="21" s="1"/>
  <c r="M14" i="18"/>
  <c r="H19" i="21"/>
  <c r="J19" i="21"/>
  <c r="M15" i="18"/>
  <c r="H20" i="21"/>
  <c r="M16" i="18"/>
  <c r="H21" i="21"/>
  <c r="M17" i="18"/>
  <c r="H22" i="21"/>
  <c r="M18" i="18"/>
  <c r="H23" i="21"/>
  <c r="M19" i="18"/>
  <c r="H24" i="21" s="1"/>
  <c r="M20" i="18"/>
  <c r="H25" i="21" s="1"/>
  <c r="M21" i="18"/>
  <c r="H26" i="21" s="1"/>
  <c r="A23" i="18"/>
  <c r="A24" i="18"/>
  <c r="A25" i="18"/>
  <c r="A22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G9" i="20"/>
  <c r="I9" i="20" s="1"/>
  <c r="G8" i="20"/>
  <c r="I8" i="20" s="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8" i="21"/>
  <c r="A29" i="21"/>
  <c r="A30" i="21"/>
  <c r="A31" i="21"/>
  <c r="H11" i="17"/>
  <c r="H12" i="17"/>
  <c r="D14" i="21"/>
  <c r="F14" i="21"/>
  <c r="H13" i="17"/>
  <c r="D15" i="21" s="1"/>
  <c r="F15" i="21" s="1"/>
  <c r="H14" i="17"/>
  <c r="D16" i="21"/>
  <c r="F16" i="21" s="1"/>
  <c r="H15" i="17"/>
  <c r="D17" i="21" s="1"/>
  <c r="F17" i="21" s="1"/>
  <c r="H16" i="17"/>
  <c r="D18" i="21"/>
  <c r="F18" i="21" s="1"/>
  <c r="H17" i="17"/>
  <c r="D19" i="21" s="1"/>
  <c r="F19" i="21"/>
  <c r="H18" i="17"/>
  <c r="D20" i="21" s="1"/>
  <c r="F20" i="21" s="1"/>
  <c r="H19" i="17"/>
  <c r="D21" i="21"/>
  <c r="F21" i="21" s="1"/>
  <c r="H20" i="17"/>
  <c r="D22" i="21"/>
  <c r="F22" i="21"/>
  <c r="H21" i="17"/>
  <c r="D23" i="21" s="1"/>
  <c r="F23" i="21" s="1"/>
  <c r="H22" i="17"/>
  <c r="D24" i="21"/>
  <c r="F24" i="21" s="1"/>
  <c r="H23" i="17"/>
  <c r="D25" i="21" s="1"/>
  <c r="F25" i="21" s="1"/>
  <c r="H24" i="17"/>
  <c r="D26" i="21"/>
  <c r="F26" i="21" s="1"/>
  <c r="H26" i="17"/>
  <c r="D28" i="21" s="1"/>
  <c r="F28" i="21"/>
  <c r="H27" i="17"/>
  <c r="D29" i="21" s="1"/>
  <c r="F29" i="21" s="1"/>
  <c r="H28" i="17"/>
  <c r="D30" i="21"/>
  <c r="F30" i="21" s="1"/>
  <c r="H29" i="17"/>
  <c r="D31" i="21"/>
  <c r="F31" i="21"/>
  <c r="I11" i="17"/>
  <c r="G13" i="21" s="1"/>
  <c r="I12" i="17"/>
  <c r="G14" i="21"/>
  <c r="I13" i="17"/>
  <c r="G15" i="21" s="1"/>
  <c r="J15" i="21" s="1"/>
  <c r="I14" i="17"/>
  <c r="G16" i="21" s="1"/>
  <c r="J16" i="21" s="1"/>
  <c r="I15" i="17"/>
  <c r="G17" i="21"/>
  <c r="I16" i="17"/>
  <c r="G18" i="21"/>
  <c r="I17" i="17"/>
  <c r="G19" i="21"/>
  <c r="I18" i="17"/>
  <c r="G20" i="21" s="1"/>
  <c r="I19" i="17"/>
  <c r="G21" i="21"/>
  <c r="I20" i="17"/>
  <c r="G22" i="21" s="1"/>
  <c r="J22" i="21" s="1"/>
  <c r="I21" i="17"/>
  <c r="G23" i="21" s="1"/>
  <c r="J23" i="21" s="1"/>
  <c r="I22" i="17"/>
  <c r="G24" i="21" s="1"/>
  <c r="I23" i="17"/>
  <c r="G25" i="21"/>
  <c r="I24" i="17"/>
  <c r="G26" i="21" s="1"/>
  <c r="I26" i="17"/>
  <c r="G28" i="21"/>
  <c r="I27" i="17"/>
  <c r="G29" i="21"/>
  <c r="J29" i="21"/>
  <c r="I28" i="17"/>
  <c r="G30" i="21" s="1"/>
  <c r="I29" i="17"/>
  <c r="G31" i="21" s="1"/>
  <c r="J31" i="21" s="1"/>
  <c r="D34" i="21"/>
  <c r="D35" i="21"/>
  <c r="D36" i="21"/>
  <c r="D33" i="21"/>
  <c r="A34" i="21"/>
  <c r="A35" i="21"/>
  <c r="A36" i="21"/>
  <c r="A33" i="21"/>
  <c r="I32" i="17"/>
  <c r="J34" i="21"/>
  <c r="H31" i="17"/>
  <c r="H32" i="17"/>
  <c r="I31" i="17"/>
  <c r="J33" i="21"/>
  <c r="H33" i="17"/>
  <c r="H34" i="17"/>
  <c r="I33" i="17"/>
  <c r="J35" i="21"/>
  <c r="I34" i="17"/>
  <c r="O147" i="15"/>
  <c r="Q147" i="15" s="1"/>
  <c r="L377" i="10" s="1"/>
  <c r="M377" i="10" s="1"/>
  <c r="O146" i="15"/>
  <c r="Q146" i="15" s="1"/>
  <c r="L376" i="10" s="1"/>
  <c r="M376" i="10" s="1"/>
  <c r="O137" i="15"/>
  <c r="Q137" i="15" s="1"/>
  <c r="I377" i="10" s="1"/>
  <c r="J377" i="10" s="1"/>
  <c r="O136" i="15"/>
  <c r="Q136" i="15" s="1"/>
  <c r="I376" i="10" s="1"/>
  <c r="J376" i="10" s="1"/>
  <c r="P125" i="9"/>
  <c r="R125" i="9" s="1"/>
  <c r="F252" i="10"/>
  <c r="G252" i="10" s="1"/>
  <c r="P124" i="9"/>
  <c r="R124" i="9" s="1"/>
  <c r="F251" i="10" s="1"/>
  <c r="G251" i="10" s="1"/>
  <c r="P123" i="9"/>
  <c r="R123" i="9" s="1"/>
  <c r="F250" i="10" s="1"/>
  <c r="G250" i="10" s="1"/>
  <c r="P122" i="9"/>
  <c r="R122" i="9" s="1"/>
  <c r="F249" i="10" s="1"/>
  <c r="G249" i="10" s="1"/>
  <c r="P121" i="9"/>
  <c r="R121" i="9" s="1"/>
  <c r="F248" i="10"/>
  <c r="G248" i="10" s="1"/>
  <c r="P120" i="9"/>
  <c r="R120" i="9" s="1"/>
  <c r="F247" i="10"/>
  <c r="G247" i="10" s="1"/>
  <c r="P119" i="9"/>
  <c r="R119" i="9" s="1"/>
  <c r="F246" i="10" s="1"/>
  <c r="G246" i="10" s="1"/>
  <c r="P118" i="9"/>
  <c r="R118" i="9" s="1"/>
  <c r="F245" i="10" s="1"/>
  <c r="G245" i="10" s="1"/>
  <c r="P117" i="9"/>
  <c r="R117" i="9" s="1"/>
  <c r="F244" i="10" s="1"/>
  <c r="G244" i="10" s="1"/>
  <c r="S154" i="14"/>
  <c r="U154" i="14" s="1"/>
  <c r="R99" i="10" s="1"/>
  <c r="S99" i="10" s="1"/>
  <c r="S153" i="14"/>
  <c r="U153" i="14" s="1"/>
  <c r="R98" i="10" s="1"/>
  <c r="S98" i="10" s="1"/>
  <c r="S152" i="14"/>
  <c r="U152" i="14" s="1"/>
  <c r="R97" i="10" s="1"/>
  <c r="S97" i="10" s="1"/>
  <c r="S151" i="14"/>
  <c r="U151" i="14" s="1"/>
  <c r="R96" i="10" s="1"/>
  <c r="S96" i="10" s="1"/>
  <c r="S150" i="14"/>
  <c r="U150" i="14" s="1"/>
  <c r="R95" i="10" s="1"/>
  <c r="S95" i="10" s="1"/>
  <c r="S149" i="14"/>
  <c r="U149" i="14" s="1"/>
  <c r="R94" i="10" s="1"/>
  <c r="S94" i="10" s="1"/>
  <c r="S148" i="14"/>
  <c r="U148" i="14" s="1"/>
  <c r="R93" i="10" s="1"/>
  <c r="S93" i="10" s="1"/>
  <c r="S147" i="14"/>
  <c r="U147" i="14" s="1"/>
  <c r="R92" i="10" s="1"/>
  <c r="S92" i="10" s="1"/>
  <c r="S146" i="14"/>
  <c r="U146" i="14" s="1"/>
  <c r="R91" i="10" s="1"/>
  <c r="S91" i="10" s="1"/>
  <c r="S145" i="14"/>
  <c r="U145" i="14" s="1"/>
  <c r="R90" i="10" s="1"/>
  <c r="S90" i="10" s="1"/>
  <c r="S165" i="14"/>
  <c r="U165" i="14" s="1"/>
  <c r="F118" i="10" s="1"/>
  <c r="G118" i="10" s="1"/>
  <c r="S166" i="14"/>
  <c r="U166" i="14" s="1"/>
  <c r="F120" i="10" s="1"/>
  <c r="G120" i="10" s="1"/>
  <c r="S168" i="14"/>
  <c r="U168" i="14" s="1"/>
  <c r="F119" i="10" s="1"/>
  <c r="G119" i="10" s="1"/>
  <c r="S169" i="14"/>
  <c r="U169" i="14" s="1"/>
  <c r="F121" i="10" s="1"/>
  <c r="G121" i="10" s="1"/>
  <c r="S496" i="10"/>
  <c r="O99" i="2"/>
  <c r="Q99" i="2" s="1"/>
  <c r="P316" i="10" s="1"/>
  <c r="Q316" i="10" s="1"/>
  <c r="Q318" i="10" s="1"/>
  <c r="O53" i="2"/>
  <c r="Q53" i="2" s="1"/>
  <c r="J336" i="10" s="1"/>
  <c r="K336" i="10" s="1"/>
  <c r="O52" i="2"/>
  <c r="Q52" i="2" s="1"/>
  <c r="J335" i="10" s="1"/>
  <c r="K335" i="10" s="1"/>
  <c r="O51" i="2"/>
  <c r="Q51" i="2" s="1"/>
  <c r="J334" i="10" s="1"/>
  <c r="K334" i="10" s="1"/>
  <c r="O50" i="2"/>
  <c r="Q50" i="2" s="1"/>
  <c r="J333" i="10" s="1"/>
  <c r="K333" i="10" s="1"/>
  <c r="O49" i="2"/>
  <c r="Q49" i="2" s="1"/>
  <c r="J332" i="10" s="1"/>
  <c r="K332" i="10" s="1"/>
  <c r="O48" i="2"/>
  <c r="Q48" i="2" s="1"/>
  <c r="J331" i="10" s="1"/>
  <c r="K331" i="10" s="1"/>
  <c r="O47" i="2"/>
  <c r="Q47" i="2" s="1"/>
  <c r="J330" i="10" s="1"/>
  <c r="K330" i="10" s="1"/>
  <c r="O46" i="2"/>
  <c r="Q46" i="2" s="1"/>
  <c r="J329" i="10" s="1"/>
  <c r="K329" i="10" s="1"/>
  <c r="O15" i="2"/>
  <c r="Q15" i="2" s="1"/>
  <c r="I315" i="10" s="1"/>
  <c r="J315" i="10" s="1"/>
  <c r="O14" i="2"/>
  <c r="Q14" i="2" s="1"/>
  <c r="I314" i="10" s="1"/>
  <c r="J314" i="10" s="1"/>
  <c r="O93" i="2"/>
  <c r="Q93" i="2" s="1"/>
  <c r="P310" i="10" s="1"/>
  <c r="Q310" i="10" s="1"/>
  <c r="O92" i="2"/>
  <c r="Q92" i="2" s="1"/>
  <c r="P309" i="10" s="1"/>
  <c r="Q309" i="10" s="1"/>
  <c r="P110" i="9"/>
  <c r="R110" i="9" s="1"/>
  <c r="C252" i="10" s="1"/>
  <c r="D252" i="10" s="1"/>
  <c r="P109" i="9"/>
  <c r="R109" i="9" s="1"/>
  <c r="C251" i="10" s="1"/>
  <c r="D251" i="10" s="1"/>
  <c r="P108" i="9"/>
  <c r="R108" i="9" s="1"/>
  <c r="C250" i="10" s="1"/>
  <c r="D250" i="10" s="1"/>
  <c r="P107" i="9"/>
  <c r="R107" i="9" s="1"/>
  <c r="C249" i="10"/>
  <c r="D249" i="10" s="1"/>
  <c r="P106" i="9"/>
  <c r="R106" i="9" s="1"/>
  <c r="C248" i="10" s="1"/>
  <c r="D248" i="10" s="1"/>
  <c r="P105" i="9"/>
  <c r="R105" i="9" s="1"/>
  <c r="C247" i="10" s="1"/>
  <c r="D247" i="10" s="1"/>
  <c r="P104" i="9"/>
  <c r="R104" i="9" s="1"/>
  <c r="C246" i="10" s="1"/>
  <c r="D246" i="10" s="1"/>
  <c r="P103" i="9"/>
  <c r="R103" i="9" s="1"/>
  <c r="C245" i="10" s="1"/>
  <c r="D245" i="10" s="1"/>
  <c r="P102" i="9"/>
  <c r="R102" i="9" s="1"/>
  <c r="C244" i="10" s="1"/>
  <c r="D244" i="10" s="1"/>
  <c r="P78" i="9"/>
  <c r="R78" i="9" s="1"/>
  <c r="M230" i="10" s="1"/>
  <c r="N230" i="10" s="1"/>
  <c r="P79" i="9"/>
  <c r="R79" i="9" s="1"/>
  <c r="M231" i="10"/>
  <c r="N231" i="10" s="1"/>
  <c r="P80" i="9"/>
  <c r="R80" i="9" s="1"/>
  <c r="M232" i="10" s="1"/>
  <c r="N232" i="10" s="1"/>
  <c r="P81" i="9"/>
  <c r="R81" i="9" s="1"/>
  <c r="M233" i="10" s="1"/>
  <c r="N233" i="10" s="1"/>
  <c r="P82" i="9"/>
  <c r="R82" i="9" s="1"/>
  <c r="M234" i="10" s="1"/>
  <c r="N234" i="10" s="1"/>
  <c r="Q564" i="10"/>
  <c r="Q563" i="10"/>
  <c r="Q562" i="10"/>
  <c r="Q561" i="10"/>
  <c r="Q560" i="10"/>
  <c r="Q559" i="10"/>
  <c r="N564" i="10"/>
  <c r="N563" i="10"/>
  <c r="N562" i="10"/>
  <c r="N561" i="10"/>
  <c r="N560" i="10"/>
  <c r="N559" i="10"/>
  <c r="N558" i="10"/>
  <c r="N557" i="10"/>
  <c r="N556" i="10"/>
  <c r="K564" i="10"/>
  <c r="K563" i="10"/>
  <c r="K562" i="10"/>
  <c r="K561" i="10"/>
  <c r="K560" i="10"/>
  <c r="K559" i="10"/>
  <c r="K558" i="10"/>
  <c r="K557" i="10"/>
  <c r="K556" i="10"/>
  <c r="D4" i="21"/>
  <c r="A7" i="18"/>
  <c r="S495" i="10"/>
  <c r="S494" i="10"/>
  <c r="S493" i="10"/>
  <c r="S492" i="10"/>
  <c r="S491" i="10"/>
  <c r="S490" i="10"/>
  <c r="S489" i="10"/>
  <c r="S488" i="10"/>
  <c r="S487" i="10"/>
  <c r="S486" i="10"/>
  <c r="S485" i="10"/>
  <c r="S484" i="10"/>
  <c r="S483" i="10"/>
  <c r="S482" i="10"/>
  <c r="S481" i="10"/>
  <c r="S480" i="10"/>
  <c r="J480" i="10"/>
  <c r="J481" i="10"/>
  <c r="J482" i="10"/>
  <c r="J483" i="10"/>
  <c r="J484" i="10"/>
  <c r="J485" i="10"/>
  <c r="J486" i="10"/>
  <c r="J487" i="10"/>
  <c r="J488" i="10"/>
  <c r="J489" i="10"/>
  <c r="J490" i="10"/>
  <c r="J491" i="10"/>
  <c r="J492" i="10"/>
  <c r="J493" i="10"/>
  <c r="J494" i="10"/>
  <c r="J495" i="10"/>
  <c r="J496" i="10"/>
  <c r="S396" i="10"/>
  <c r="S397" i="10"/>
  <c r="S398" i="10"/>
  <c r="S399" i="10"/>
  <c r="S400" i="10"/>
  <c r="S401" i="10"/>
  <c r="S402" i="10"/>
  <c r="S403" i="10"/>
  <c r="S404" i="10"/>
  <c r="S405" i="10"/>
  <c r="S406" i="10"/>
  <c r="S407" i="10"/>
  <c r="S408" i="10"/>
  <c r="S409" i="10"/>
  <c r="S410" i="10"/>
  <c r="S395" i="10"/>
  <c r="S394" i="10"/>
  <c r="J410" i="10"/>
  <c r="J397" i="10"/>
  <c r="J398" i="10"/>
  <c r="J399" i="10"/>
  <c r="J400" i="10"/>
  <c r="J401" i="10"/>
  <c r="J402" i="10"/>
  <c r="J403" i="10"/>
  <c r="J404" i="10"/>
  <c r="J405" i="10"/>
  <c r="J406" i="10"/>
  <c r="J407" i="10"/>
  <c r="J408" i="10"/>
  <c r="J409" i="10"/>
  <c r="J396" i="10"/>
  <c r="J395" i="10"/>
  <c r="J394" i="10"/>
  <c r="A12" i="21"/>
  <c r="G25" i="20"/>
  <c r="I23" i="20"/>
  <c r="I22" i="20"/>
  <c r="I21" i="20"/>
  <c r="L26" i="18"/>
  <c r="K26" i="18"/>
  <c r="J26" i="18"/>
  <c r="I26" i="18"/>
  <c r="H26" i="18"/>
  <c r="G26" i="18"/>
  <c r="F26" i="18"/>
  <c r="E26" i="18"/>
  <c r="D26" i="18"/>
  <c r="M8" i="18"/>
  <c r="H13" i="21"/>
  <c r="M7" i="18"/>
  <c r="H12" i="21" s="1"/>
  <c r="J12" i="21" s="1"/>
  <c r="C8" i="19"/>
  <c r="H25" i="19"/>
  <c r="C7" i="19"/>
  <c r="H23" i="19" s="1"/>
  <c r="C6" i="19"/>
  <c r="H21" i="19"/>
  <c r="D35" i="17"/>
  <c r="E7" i="19" s="1"/>
  <c r="B14" i="19" s="1"/>
  <c r="B35" i="17"/>
  <c r="E6" i="19"/>
  <c r="E9" i="19" s="1"/>
  <c r="I10" i="17"/>
  <c r="G12" i="21" s="1"/>
  <c r="H10" i="17"/>
  <c r="D12" i="21"/>
  <c r="P536" i="10"/>
  <c r="P508" i="10"/>
  <c r="P509" i="10"/>
  <c r="P510" i="10"/>
  <c r="P511" i="10"/>
  <c r="P512" i="10"/>
  <c r="P513" i="10"/>
  <c r="P514" i="10"/>
  <c r="P515" i="10"/>
  <c r="P516" i="10"/>
  <c r="P517" i="10"/>
  <c r="P518" i="10"/>
  <c r="P519" i="10"/>
  <c r="P520" i="10"/>
  <c r="P521" i="10"/>
  <c r="P522" i="10"/>
  <c r="P523" i="10"/>
  <c r="P524" i="10"/>
  <c r="P525" i="10"/>
  <c r="P526" i="10"/>
  <c r="P527" i="10"/>
  <c r="P528" i="10"/>
  <c r="P529" i="10"/>
  <c r="P530" i="10"/>
  <c r="P531" i="10"/>
  <c r="P532" i="10"/>
  <c r="P533" i="10"/>
  <c r="P534" i="10"/>
  <c r="P535" i="10"/>
  <c r="P506" i="10"/>
  <c r="P507" i="10"/>
  <c r="P505" i="10"/>
  <c r="K578" i="10"/>
  <c r="K577" i="10"/>
  <c r="K576" i="10"/>
  <c r="K574" i="10"/>
  <c r="K573" i="10"/>
  <c r="O145" i="15"/>
  <c r="Q145" i="15" s="1"/>
  <c r="L375" i="10" s="1"/>
  <c r="M375" i="10" s="1"/>
  <c r="O144" i="15"/>
  <c r="Q144" i="15" s="1"/>
  <c r="L374" i="10" s="1"/>
  <c r="M374" i="10" s="1"/>
  <c r="O143" i="15"/>
  <c r="Q143" i="15" s="1"/>
  <c r="L373" i="10" s="1"/>
  <c r="M373" i="10" s="1"/>
  <c r="O135" i="15"/>
  <c r="Q135" i="15" s="1"/>
  <c r="I375" i="10" s="1"/>
  <c r="J375" i="10" s="1"/>
  <c r="O134" i="15"/>
  <c r="Q134" i="15" s="1"/>
  <c r="I374" i="10" s="1"/>
  <c r="J374" i="10" s="1"/>
  <c r="O133" i="15"/>
  <c r="Q133" i="15" s="1"/>
  <c r="I373" i="10" s="1"/>
  <c r="J373" i="10" s="1"/>
  <c r="O72" i="15"/>
  <c r="Q72" i="15"/>
  <c r="P360" i="10" s="1"/>
  <c r="Q360" i="10" s="1"/>
  <c r="O71" i="15"/>
  <c r="Q71" i="15"/>
  <c r="M360" i="10"/>
  <c r="N360" i="10" s="1"/>
  <c r="O70" i="15"/>
  <c r="Q70" i="15"/>
  <c r="J360" i="10"/>
  <c r="K360" i="10" s="1"/>
  <c r="O69" i="15"/>
  <c r="Q69" i="15"/>
  <c r="G360" i="10" s="1"/>
  <c r="H360" i="10" s="1"/>
  <c r="O68" i="15"/>
  <c r="Q68" i="15"/>
  <c r="D360" i="10" s="1"/>
  <c r="E360" i="10" s="1"/>
  <c r="O125" i="15"/>
  <c r="Q125" i="15"/>
  <c r="P364" i="10" s="1"/>
  <c r="Q364" i="10" s="1"/>
  <c r="O124" i="15"/>
  <c r="Q124" i="15"/>
  <c r="M364" i="10"/>
  <c r="N364" i="10" s="1"/>
  <c r="O123" i="15"/>
  <c r="Q123" i="15"/>
  <c r="J364" i="10" s="1"/>
  <c r="K364" i="10" s="1"/>
  <c r="O122" i="15"/>
  <c r="Q122" i="15"/>
  <c r="G364" i="10" s="1"/>
  <c r="H364" i="10" s="1"/>
  <c r="O121" i="15"/>
  <c r="Q121" i="15"/>
  <c r="D364" i="10"/>
  <c r="E364" i="10" s="1"/>
  <c r="O110" i="15"/>
  <c r="Q110" i="15"/>
  <c r="P363" i="10"/>
  <c r="Q363" i="10" s="1"/>
  <c r="O109" i="15"/>
  <c r="Q109" i="15"/>
  <c r="M363" i="10" s="1"/>
  <c r="N363" i="10" s="1"/>
  <c r="O108" i="15"/>
  <c r="Q108" i="15"/>
  <c r="J363" i="10" s="1"/>
  <c r="K363" i="10" s="1"/>
  <c r="O107" i="15"/>
  <c r="Q107" i="15"/>
  <c r="G363" i="10" s="1"/>
  <c r="H363" i="10" s="1"/>
  <c r="O106" i="15"/>
  <c r="Q106" i="15"/>
  <c r="D363" i="10"/>
  <c r="E363" i="10" s="1"/>
  <c r="O98" i="15"/>
  <c r="Q98" i="15"/>
  <c r="P362" i="10" s="1"/>
  <c r="Q362" i="10" s="1"/>
  <c r="O97" i="15"/>
  <c r="Q97" i="15"/>
  <c r="M362" i="10" s="1"/>
  <c r="N362" i="10" s="1"/>
  <c r="O96" i="15"/>
  <c r="Q96" i="15"/>
  <c r="J362" i="10"/>
  <c r="K362" i="10" s="1"/>
  <c r="O95" i="15"/>
  <c r="Q95" i="15" s="1"/>
  <c r="G362" i="10" s="1"/>
  <c r="H362" i="10" s="1"/>
  <c r="O94" i="15"/>
  <c r="Q94" i="15" s="1"/>
  <c r="D362" i="10" s="1"/>
  <c r="E362" i="10" s="1"/>
  <c r="O86" i="15"/>
  <c r="Q86" i="15" s="1"/>
  <c r="P361" i="10" s="1"/>
  <c r="Q361" i="10" s="1"/>
  <c r="O85" i="15"/>
  <c r="Q85" i="15"/>
  <c r="M361" i="10"/>
  <c r="N361" i="10" s="1"/>
  <c r="O84" i="15"/>
  <c r="Q84" i="15" s="1"/>
  <c r="J361" i="10" s="1"/>
  <c r="K361" i="10" s="1"/>
  <c r="O83" i="15"/>
  <c r="Q83" i="15" s="1"/>
  <c r="G361" i="10" s="1"/>
  <c r="H361" i="10" s="1"/>
  <c r="O82" i="15"/>
  <c r="Q82" i="15" s="1"/>
  <c r="D361" i="10" s="1"/>
  <c r="E361" i="10" s="1"/>
  <c r="O60" i="15"/>
  <c r="Q60" i="15"/>
  <c r="P359" i="10"/>
  <c r="Q359" i="10" s="1"/>
  <c r="O59" i="15"/>
  <c r="Q59" i="15" s="1"/>
  <c r="M359" i="10" s="1"/>
  <c r="N359" i="10" s="1"/>
  <c r="O58" i="15"/>
  <c r="Q58" i="15" s="1"/>
  <c r="J359" i="10" s="1"/>
  <c r="K359" i="10" s="1"/>
  <c r="O57" i="15"/>
  <c r="Q57" i="15" s="1"/>
  <c r="G359" i="10" s="1"/>
  <c r="H359" i="10" s="1"/>
  <c r="O56" i="15"/>
  <c r="Q56" i="15"/>
  <c r="D359" i="10"/>
  <c r="E359" i="10" s="1"/>
  <c r="O48" i="15"/>
  <c r="Q48" i="15" s="1"/>
  <c r="P358" i="10" s="1"/>
  <c r="Q358" i="10" s="1"/>
  <c r="O47" i="15"/>
  <c r="Q47" i="15" s="1"/>
  <c r="M358" i="10" s="1"/>
  <c r="N358" i="10" s="1"/>
  <c r="O46" i="15"/>
  <c r="Q46" i="15" s="1"/>
  <c r="J358" i="10" s="1"/>
  <c r="K358" i="10" s="1"/>
  <c r="O45" i="15"/>
  <c r="Q45" i="15"/>
  <c r="G358" i="10"/>
  <c r="H358" i="10" s="1"/>
  <c r="O44" i="15"/>
  <c r="Q44" i="15" s="1"/>
  <c r="D358" i="10" s="1"/>
  <c r="E358" i="10" s="1"/>
  <c r="O35" i="15"/>
  <c r="Q35" i="15" s="1"/>
  <c r="P357" i="10" s="1"/>
  <c r="Q357" i="10" s="1"/>
  <c r="O34" i="15"/>
  <c r="Q34" i="15" s="1"/>
  <c r="M357" i="10" s="1"/>
  <c r="N357" i="10" s="1"/>
  <c r="O33" i="15"/>
  <c r="Q33" i="15"/>
  <c r="J357" i="10" s="1"/>
  <c r="K357" i="10" s="1"/>
  <c r="O32" i="15"/>
  <c r="Q32" i="15" s="1"/>
  <c r="G357" i="10" s="1"/>
  <c r="H357" i="10" s="1"/>
  <c r="O31" i="15"/>
  <c r="Q31" i="15"/>
  <c r="D357" i="10" s="1"/>
  <c r="E357" i="10" s="1"/>
  <c r="O24" i="15"/>
  <c r="Q24" i="15" s="1"/>
  <c r="P356" i="10" s="1"/>
  <c r="Q356" i="10" s="1"/>
  <c r="O23" i="15"/>
  <c r="Q23" i="15"/>
  <c r="M356" i="10" s="1"/>
  <c r="N356" i="10" s="1"/>
  <c r="O22" i="15"/>
  <c r="Q22" i="15" s="1"/>
  <c r="J356" i="10" s="1"/>
  <c r="K356" i="10" s="1"/>
  <c r="O21" i="15"/>
  <c r="Q21" i="15"/>
  <c r="G356" i="10" s="1"/>
  <c r="H356" i="10" s="1"/>
  <c r="O20" i="15"/>
  <c r="Q20" i="15" s="1"/>
  <c r="D356" i="10" s="1"/>
  <c r="E356" i="10" s="1"/>
  <c r="O13" i="15"/>
  <c r="Q13" i="15"/>
  <c r="P355" i="10" s="1"/>
  <c r="Q355" i="10" s="1"/>
  <c r="O12" i="15"/>
  <c r="Q12" i="15" s="1"/>
  <c r="M355" i="10" s="1"/>
  <c r="N355" i="10" s="1"/>
  <c r="O11" i="15"/>
  <c r="Q11" i="15"/>
  <c r="J355" i="10" s="1"/>
  <c r="K355" i="10" s="1"/>
  <c r="O10" i="15"/>
  <c r="Q10" i="15" s="1"/>
  <c r="G355" i="10" s="1"/>
  <c r="H355" i="10" s="1"/>
  <c r="O9" i="15"/>
  <c r="Q9" i="15"/>
  <c r="D355" i="10" s="1"/>
  <c r="E355" i="10" s="1"/>
  <c r="O27" i="2"/>
  <c r="Q27" i="2" s="1"/>
  <c r="C335" i="10" s="1"/>
  <c r="D335" i="10" s="1"/>
  <c r="O26" i="2"/>
  <c r="Q26" i="2" s="1"/>
  <c r="C334" i="10" s="1"/>
  <c r="D334" i="10" s="1"/>
  <c r="O25" i="2"/>
  <c r="Q25" i="2" s="1"/>
  <c r="C333" i="10" s="1"/>
  <c r="D333" i="10" s="1"/>
  <c r="O24" i="2"/>
  <c r="Q24" i="2" s="1"/>
  <c r="C332" i="10" s="1"/>
  <c r="D332" i="10" s="1"/>
  <c r="O23" i="2"/>
  <c r="Q23" i="2" s="1"/>
  <c r="C331" i="10" s="1"/>
  <c r="D331" i="10" s="1"/>
  <c r="O22" i="2"/>
  <c r="Q22" i="2" s="1"/>
  <c r="O13" i="2"/>
  <c r="Q13" i="2" s="1"/>
  <c r="I313" i="10" s="1"/>
  <c r="J313" i="10" s="1"/>
  <c r="O12" i="2"/>
  <c r="Q12" i="2" s="1"/>
  <c r="I312" i="10" s="1"/>
  <c r="J312" i="10" s="1"/>
  <c r="O11" i="2"/>
  <c r="Q11" i="2" s="1"/>
  <c r="I311" i="10" s="1"/>
  <c r="J311" i="10" s="1"/>
  <c r="O10" i="2"/>
  <c r="Q10" i="2" s="1"/>
  <c r="I310" i="10" s="1"/>
  <c r="J310" i="10" s="1"/>
  <c r="O9" i="2"/>
  <c r="Q9" i="2" s="1"/>
  <c r="I309" i="10" s="1"/>
  <c r="J309" i="10" s="1"/>
  <c r="O8" i="2"/>
  <c r="Q8" i="2" s="1"/>
  <c r="I308" i="10" s="1"/>
  <c r="J308" i="10" s="1"/>
  <c r="O7" i="2"/>
  <c r="Q7" i="2" s="1"/>
  <c r="I307" i="10" s="1"/>
  <c r="J307" i="10" s="1"/>
  <c r="O6" i="2"/>
  <c r="Q6" i="2" s="1"/>
  <c r="I306" i="10" s="1"/>
  <c r="J306" i="10" s="1"/>
  <c r="O50" i="7"/>
  <c r="O287" i="10"/>
  <c r="P287" i="10" s="1"/>
  <c r="O49" i="7"/>
  <c r="O286" i="10"/>
  <c r="P286" i="10" s="1"/>
  <c r="O48" i="7"/>
  <c r="O285" i="10" s="1"/>
  <c r="P285" i="10" s="1"/>
  <c r="O47" i="7"/>
  <c r="O284" i="10" s="1"/>
  <c r="P284" i="10" s="1"/>
  <c r="O46" i="7"/>
  <c r="O283" i="10"/>
  <c r="P283" i="10" s="1"/>
  <c r="O45" i="7"/>
  <c r="O282" i="10"/>
  <c r="P282" i="10" s="1"/>
  <c r="G50" i="7"/>
  <c r="L287" i="10" s="1"/>
  <c r="M287" i="10" s="1"/>
  <c r="G49" i="7"/>
  <c r="L286" i="10" s="1"/>
  <c r="M286" i="10" s="1"/>
  <c r="G48" i="7"/>
  <c r="L285" i="10"/>
  <c r="M285" i="10" s="1"/>
  <c r="G47" i="7"/>
  <c r="L284" i="10"/>
  <c r="M284" i="10" s="1"/>
  <c r="G46" i="7"/>
  <c r="L283" i="10" s="1"/>
  <c r="M283" i="10" s="1"/>
  <c r="G45" i="7"/>
  <c r="L282" i="10" s="1"/>
  <c r="M282" i="10" s="1"/>
  <c r="O39" i="7"/>
  <c r="I287" i="10"/>
  <c r="J287" i="10" s="1"/>
  <c r="O38" i="7"/>
  <c r="I286" i="10"/>
  <c r="J286" i="10" s="1"/>
  <c r="G39" i="7"/>
  <c r="F287" i="10" s="1"/>
  <c r="G287" i="10" s="1"/>
  <c r="G38" i="7"/>
  <c r="F286" i="10" s="1"/>
  <c r="G286" i="10" s="1"/>
  <c r="O37" i="7"/>
  <c r="I285" i="10"/>
  <c r="J285" i="10" s="1"/>
  <c r="O36" i="7"/>
  <c r="I284" i="10"/>
  <c r="J284" i="10" s="1"/>
  <c r="O35" i="7"/>
  <c r="I283" i="10" s="1"/>
  <c r="J283" i="10" s="1"/>
  <c r="O34" i="7"/>
  <c r="I282" i="10" s="1"/>
  <c r="J282" i="10" s="1"/>
  <c r="G35" i="7"/>
  <c r="F283" i="10"/>
  <c r="G283" i="10" s="1"/>
  <c r="G37" i="7"/>
  <c r="F285" i="10"/>
  <c r="G285" i="10" s="1"/>
  <c r="G36" i="7"/>
  <c r="F284" i="10" s="1"/>
  <c r="G284" i="10" s="1"/>
  <c r="G34" i="7"/>
  <c r="F282" i="10" s="1"/>
  <c r="G282" i="10" s="1"/>
  <c r="O25" i="7"/>
  <c r="Q25" i="7"/>
  <c r="I274" i="10" s="1"/>
  <c r="J274" i="10" s="1"/>
  <c r="O24" i="7"/>
  <c r="Q24" i="7" s="1"/>
  <c r="I273" i="10" s="1"/>
  <c r="J273" i="10" s="1"/>
  <c r="O23" i="7"/>
  <c r="Q23" i="7"/>
  <c r="I272" i="10" s="1"/>
  <c r="J272" i="10" s="1"/>
  <c r="O22" i="7"/>
  <c r="Q22" i="7" s="1"/>
  <c r="I271" i="10" s="1"/>
  <c r="J271" i="10" s="1"/>
  <c r="O21" i="7"/>
  <c r="Q21" i="7"/>
  <c r="I270" i="10" s="1"/>
  <c r="J270" i="10" s="1"/>
  <c r="O20" i="7"/>
  <c r="Q20" i="7" s="1"/>
  <c r="I269" i="10" s="1"/>
  <c r="J269" i="10" s="1"/>
  <c r="O13" i="7"/>
  <c r="Q13" i="7"/>
  <c r="F274" i="10" s="1"/>
  <c r="G274" i="10" s="1"/>
  <c r="O12" i="7"/>
  <c r="Q12" i="7" s="1"/>
  <c r="F273" i="10" s="1"/>
  <c r="G273" i="10" s="1"/>
  <c r="O11" i="7"/>
  <c r="Q11" i="7"/>
  <c r="F272" i="10" s="1"/>
  <c r="G272" i="10" s="1"/>
  <c r="O10" i="7"/>
  <c r="Q10" i="7" s="1"/>
  <c r="F271" i="10" s="1"/>
  <c r="G271" i="10" s="1"/>
  <c r="O9" i="7"/>
  <c r="Q9" i="7"/>
  <c r="F270" i="10" s="1"/>
  <c r="G270" i="10" s="1"/>
  <c r="O8" i="7"/>
  <c r="Q8" i="7" s="1"/>
  <c r="F269" i="10" s="1"/>
  <c r="G269" i="10" s="1"/>
  <c r="S67" i="14"/>
  <c r="U67" i="14" s="1"/>
  <c r="L83" i="10" s="1"/>
  <c r="M83" i="10" s="1"/>
  <c r="P95" i="9"/>
  <c r="R95" i="9" s="1"/>
  <c r="P229" i="10" s="1"/>
  <c r="Q229" i="10" s="1"/>
  <c r="P94" i="9"/>
  <c r="R94" i="9"/>
  <c r="P228" i="10" s="1"/>
  <c r="Q228" i="10" s="1"/>
  <c r="P93" i="9"/>
  <c r="R93" i="9" s="1"/>
  <c r="P227" i="10" s="1"/>
  <c r="Q227" i="10" s="1"/>
  <c r="P92" i="9"/>
  <c r="R92" i="9"/>
  <c r="P226" i="10" s="1"/>
  <c r="Q226" i="10" s="1"/>
  <c r="P91" i="9"/>
  <c r="R91" i="9" s="1"/>
  <c r="P225" i="10" s="1"/>
  <c r="Q225" i="10" s="1"/>
  <c r="P90" i="9"/>
  <c r="R90" i="9"/>
  <c r="P224" i="10" s="1"/>
  <c r="Q224" i="10" s="1"/>
  <c r="P89" i="9"/>
  <c r="R89" i="9" s="1"/>
  <c r="P223" i="10" s="1"/>
  <c r="Q223" i="10" s="1"/>
  <c r="P77" i="9"/>
  <c r="R77" i="9" s="1"/>
  <c r="M229" i="10" s="1"/>
  <c r="N229" i="10" s="1"/>
  <c r="P76" i="9"/>
  <c r="R76" i="9" s="1"/>
  <c r="M228" i="10" s="1"/>
  <c r="N228" i="10" s="1"/>
  <c r="P75" i="9"/>
  <c r="R75" i="9"/>
  <c r="M227" i="10" s="1"/>
  <c r="N227" i="10" s="1"/>
  <c r="P74" i="9"/>
  <c r="R74" i="9" s="1"/>
  <c r="M226" i="10" s="1"/>
  <c r="N226" i="10" s="1"/>
  <c r="P73" i="9"/>
  <c r="R73" i="9"/>
  <c r="M225" i="10" s="1"/>
  <c r="N225" i="10" s="1"/>
  <c r="P72" i="9"/>
  <c r="M224" i="10" s="1"/>
  <c r="N224" i="10" s="1"/>
  <c r="P71" i="9"/>
  <c r="R71" i="9" s="1"/>
  <c r="M223" i="10" s="1"/>
  <c r="N223" i="10" s="1"/>
  <c r="P64" i="9"/>
  <c r="R64" i="9"/>
  <c r="J239" i="10"/>
  <c r="K239" i="10" s="1"/>
  <c r="P63" i="9"/>
  <c r="R63" i="9"/>
  <c r="J238" i="10" s="1"/>
  <c r="K238" i="10" s="1"/>
  <c r="P62" i="9"/>
  <c r="R62" i="9" s="1"/>
  <c r="J237" i="10" s="1"/>
  <c r="K237" i="10" s="1"/>
  <c r="P61" i="9"/>
  <c r="R61" i="9"/>
  <c r="J236" i="10"/>
  <c r="K236" i="10" s="1"/>
  <c r="P60" i="9"/>
  <c r="R60" i="9"/>
  <c r="J235" i="10"/>
  <c r="K235" i="10" s="1"/>
  <c r="P59" i="9"/>
  <c r="R59" i="9" s="1"/>
  <c r="J234" i="10" s="1"/>
  <c r="K234" i="10" s="1"/>
  <c r="P58" i="9"/>
  <c r="R58" i="9"/>
  <c r="J233" i="10" s="1"/>
  <c r="K233" i="10" s="1"/>
  <c r="P57" i="9"/>
  <c r="R57" i="9"/>
  <c r="J232" i="10"/>
  <c r="K232" i="10" s="1"/>
  <c r="P56" i="9"/>
  <c r="R56" i="9" s="1"/>
  <c r="J231" i="10" s="1"/>
  <c r="K231" i="10" s="1"/>
  <c r="P55" i="9"/>
  <c r="R55" i="9"/>
  <c r="J230" i="10" s="1"/>
  <c r="K230" i="10" s="1"/>
  <c r="P54" i="9"/>
  <c r="R54" i="9"/>
  <c r="J229" i="10" s="1"/>
  <c r="K229" i="10" s="1"/>
  <c r="P53" i="9"/>
  <c r="R53" i="9"/>
  <c r="J228" i="10" s="1"/>
  <c r="K228" i="10" s="1"/>
  <c r="P52" i="9"/>
  <c r="R52" i="9" s="1"/>
  <c r="J227" i="10" s="1"/>
  <c r="K227" i="10" s="1"/>
  <c r="P51" i="9"/>
  <c r="R51" i="9"/>
  <c r="J226" i="10" s="1"/>
  <c r="K226" i="10" s="1"/>
  <c r="P50" i="9"/>
  <c r="R50" i="9"/>
  <c r="J225" i="10" s="1"/>
  <c r="K225" i="10" s="1"/>
  <c r="P49" i="9"/>
  <c r="R49" i="9" s="1"/>
  <c r="J224" i="10" s="1"/>
  <c r="K224" i="10" s="1"/>
  <c r="P48" i="9"/>
  <c r="R48" i="9"/>
  <c r="J223" i="10"/>
  <c r="K223" i="10" s="1"/>
  <c r="P37" i="9"/>
  <c r="R37" i="9"/>
  <c r="G231" i="10" s="1"/>
  <c r="H231" i="10" s="1"/>
  <c r="P36" i="9"/>
  <c r="R36" i="9" s="1"/>
  <c r="G230" i="10" s="1"/>
  <c r="H230" i="10" s="1"/>
  <c r="P35" i="9"/>
  <c r="R35" i="9"/>
  <c r="G229" i="10"/>
  <c r="H229" i="10" s="1"/>
  <c r="P34" i="9"/>
  <c r="R34" i="9"/>
  <c r="G228" i="10"/>
  <c r="H228" i="10" s="1"/>
  <c r="P33" i="9"/>
  <c r="R33" i="9" s="1"/>
  <c r="G227" i="10" s="1"/>
  <c r="H227" i="10" s="1"/>
  <c r="P32" i="9"/>
  <c r="R32" i="9"/>
  <c r="G226" i="10" s="1"/>
  <c r="H226" i="10" s="1"/>
  <c r="P31" i="9"/>
  <c r="R31" i="9"/>
  <c r="G225" i="10"/>
  <c r="H225" i="10" s="1"/>
  <c r="P30" i="9"/>
  <c r="R30" i="9" s="1"/>
  <c r="G224" i="10" s="1"/>
  <c r="H224" i="10" s="1"/>
  <c r="P29" i="9"/>
  <c r="R29" i="9"/>
  <c r="G223" i="10" s="1"/>
  <c r="H223" i="10" s="1"/>
  <c r="P22" i="9"/>
  <c r="R22" i="9"/>
  <c r="D239" i="10" s="1"/>
  <c r="E239" i="10" s="1"/>
  <c r="P21" i="9"/>
  <c r="R21" i="9"/>
  <c r="D238" i="10" s="1"/>
  <c r="E238" i="10" s="1"/>
  <c r="P20" i="9"/>
  <c r="R20" i="9" s="1"/>
  <c r="D237" i="10" s="1"/>
  <c r="E237" i="10" s="1"/>
  <c r="P19" i="9"/>
  <c r="R19" i="9"/>
  <c r="D236" i="10" s="1"/>
  <c r="E236" i="10" s="1"/>
  <c r="P18" i="9"/>
  <c r="R18" i="9"/>
  <c r="D235" i="10" s="1"/>
  <c r="E235" i="10" s="1"/>
  <c r="P17" i="9"/>
  <c r="R17" i="9" s="1"/>
  <c r="D234" i="10" s="1"/>
  <c r="E234" i="10" s="1"/>
  <c r="P16" i="9"/>
  <c r="R16" i="9"/>
  <c r="D233" i="10"/>
  <c r="E233" i="10" s="1"/>
  <c r="P15" i="9"/>
  <c r="R15" i="9"/>
  <c r="D232" i="10" s="1"/>
  <c r="E232" i="10" s="1"/>
  <c r="P14" i="9"/>
  <c r="R14" i="9" s="1"/>
  <c r="D231" i="10" s="1"/>
  <c r="E231" i="10" s="1"/>
  <c r="P13" i="9"/>
  <c r="R13" i="9"/>
  <c r="D230" i="10"/>
  <c r="E230" i="10" s="1"/>
  <c r="P12" i="9"/>
  <c r="R12" i="9"/>
  <c r="D229" i="10"/>
  <c r="E229" i="10" s="1"/>
  <c r="P11" i="9"/>
  <c r="R11" i="9" s="1"/>
  <c r="D228" i="10" s="1"/>
  <c r="E228" i="10" s="1"/>
  <c r="P10" i="9"/>
  <c r="R10" i="9"/>
  <c r="D227" i="10" s="1"/>
  <c r="E227" i="10" s="1"/>
  <c r="P9" i="9"/>
  <c r="R9" i="9"/>
  <c r="D226" i="10"/>
  <c r="E226" i="10" s="1"/>
  <c r="P8" i="9"/>
  <c r="R8" i="9" s="1"/>
  <c r="D225" i="10" s="1"/>
  <c r="E225" i="10" s="1"/>
  <c r="P7" i="9"/>
  <c r="R7" i="9"/>
  <c r="D224" i="10" s="1"/>
  <c r="E224" i="10" s="1"/>
  <c r="P6" i="9"/>
  <c r="R6" i="9"/>
  <c r="D223" i="10" s="1"/>
  <c r="E223" i="10" s="1"/>
  <c r="Q111" i="12"/>
  <c r="S111" i="12"/>
  <c r="N168" i="10" s="1"/>
  <c r="O168" i="10" s="1"/>
  <c r="Q110" i="12"/>
  <c r="S110" i="12" s="1"/>
  <c r="N167" i="10" s="1"/>
  <c r="O167" i="10" s="1"/>
  <c r="Q109" i="12"/>
  <c r="S109" i="12" s="1"/>
  <c r="N166" i="10" s="1"/>
  <c r="O166" i="10" s="1"/>
  <c r="Q108" i="12"/>
  <c r="S108" i="12" s="1"/>
  <c r="N165" i="10" s="1"/>
  <c r="O165" i="10" s="1"/>
  <c r="Q107" i="12"/>
  <c r="S107" i="12" s="1"/>
  <c r="N164" i="10" s="1"/>
  <c r="O164" i="10" s="1"/>
  <c r="Q106" i="12"/>
  <c r="S106" i="12" s="1"/>
  <c r="N163" i="10" s="1"/>
  <c r="O163" i="10" s="1"/>
  <c r="Q105" i="12"/>
  <c r="S105" i="12"/>
  <c r="N162" i="10" s="1"/>
  <c r="O162" i="10" s="1"/>
  <c r="Q104" i="12"/>
  <c r="S104" i="12" s="1"/>
  <c r="N161" i="10" s="1"/>
  <c r="O161" i="10" s="1"/>
  <c r="Q103" i="12"/>
  <c r="S103" i="12" s="1"/>
  <c r="N160" i="10" s="1"/>
  <c r="O160" i="10" s="1"/>
  <c r="Q102" i="12"/>
  <c r="S102" i="12"/>
  <c r="N159" i="10"/>
  <c r="O159" i="10" s="1"/>
  <c r="Q101" i="12"/>
  <c r="S101" i="12" s="1"/>
  <c r="N158" i="10" s="1"/>
  <c r="O158" i="10" s="1"/>
  <c r="Q100" i="12"/>
  <c r="S100" i="12" s="1"/>
  <c r="N157" i="10" s="1"/>
  <c r="O157" i="10" s="1"/>
  <c r="Q99" i="12"/>
  <c r="S99" i="12" s="1"/>
  <c r="N156" i="10" s="1"/>
  <c r="O156" i="10" s="1"/>
  <c r="Q98" i="12"/>
  <c r="S98" i="12" s="1"/>
  <c r="N155" i="10" s="1"/>
  <c r="O155" i="10" s="1"/>
  <c r="Q97" i="12"/>
  <c r="S97" i="12" s="1"/>
  <c r="N154" i="10" s="1"/>
  <c r="O154" i="10" s="1"/>
  <c r="Q96" i="12"/>
  <c r="S96" i="12" s="1"/>
  <c r="N153" i="10" s="1"/>
  <c r="O153" i="10" s="1"/>
  <c r="Q95" i="12"/>
  <c r="S95" i="12" s="1"/>
  <c r="N152" i="10" s="1"/>
  <c r="O152" i="10" s="1"/>
  <c r="Q94" i="12"/>
  <c r="S94" i="12" s="1"/>
  <c r="N151" i="10" s="1"/>
  <c r="O151" i="10" s="1"/>
  <c r="Q93" i="12"/>
  <c r="S93" i="12"/>
  <c r="N150" i="10" s="1"/>
  <c r="O150" i="10" s="1"/>
  <c r="Q92" i="12"/>
  <c r="S92" i="12"/>
  <c r="N149" i="10" s="1"/>
  <c r="O149" i="10" s="1"/>
  <c r="Q91" i="12"/>
  <c r="S91" i="12" s="1"/>
  <c r="N148" i="10" s="1"/>
  <c r="O148" i="10" s="1"/>
  <c r="Q90" i="12"/>
  <c r="S90" i="12" s="1"/>
  <c r="N147" i="10" s="1"/>
  <c r="O147" i="10" s="1"/>
  <c r="Q89" i="12"/>
  <c r="S89" i="12" s="1"/>
  <c r="N146" i="10" s="1"/>
  <c r="O146" i="10" s="1"/>
  <c r="Q83" i="12"/>
  <c r="S83" i="12" s="1"/>
  <c r="K168" i="10" s="1"/>
  <c r="L168" i="10" s="1"/>
  <c r="Q82" i="12"/>
  <c r="S82" i="12" s="1"/>
  <c r="K167" i="10" s="1"/>
  <c r="L167" i="10" s="1"/>
  <c r="Q81" i="12"/>
  <c r="S81" i="12" s="1"/>
  <c r="K166" i="10" s="1"/>
  <c r="L166" i="10" s="1"/>
  <c r="Q80" i="12"/>
  <c r="S80" i="12" s="1"/>
  <c r="K165" i="10" s="1"/>
  <c r="L165" i="10" s="1"/>
  <c r="Q79" i="12"/>
  <c r="S79" i="12" s="1"/>
  <c r="K164" i="10" s="1"/>
  <c r="L164" i="10" s="1"/>
  <c r="Q78" i="12"/>
  <c r="S78" i="12" s="1"/>
  <c r="K163" i="10" s="1"/>
  <c r="L163" i="10" s="1"/>
  <c r="Q77" i="12"/>
  <c r="S77" i="12" s="1"/>
  <c r="K162" i="10" s="1"/>
  <c r="L162" i="10" s="1"/>
  <c r="Q76" i="12"/>
  <c r="S76" i="12" s="1"/>
  <c r="K161" i="10" s="1"/>
  <c r="L161" i="10" s="1"/>
  <c r="Q75" i="12"/>
  <c r="S75" i="12" s="1"/>
  <c r="K160" i="10" s="1"/>
  <c r="L160" i="10" s="1"/>
  <c r="Q74" i="12"/>
  <c r="S74" i="12" s="1"/>
  <c r="K159" i="10" s="1"/>
  <c r="L159" i="10" s="1"/>
  <c r="Q73" i="12"/>
  <c r="S73" i="12" s="1"/>
  <c r="K158" i="10" s="1"/>
  <c r="L158" i="10" s="1"/>
  <c r="Q72" i="12"/>
  <c r="S72" i="12" s="1"/>
  <c r="K157" i="10" s="1"/>
  <c r="L157" i="10" s="1"/>
  <c r="Q71" i="12"/>
  <c r="S71" i="12" s="1"/>
  <c r="K156" i="10" s="1"/>
  <c r="L156" i="10" s="1"/>
  <c r="Q70" i="12"/>
  <c r="S70" i="12" s="1"/>
  <c r="K155" i="10" s="1"/>
  <c r="L155" i="10" s="1"/>
  <c r="Q69" i="12"/>
  <c r="S69" i="12" s="1"/>
  <c r="K154" i="10" s="1"/>
  <c r="L154" i="10" s="1"/>
  <c r="Q68" i="12"/>
  <c r="S68" i="12" s="1"/>
  <c r="K153" i="10" s="1"/>
  <c r="L153" i="10" s="1"/>
  <c r="Q67" i="12"/>
  <c r="S67" i="12"/>
  <c r="K152" i="10" s="1"/>
  <c r="L152" i="10" s="1"/>
  <c r="Q66" i="12"/>
  <c r="S66" i="12" s="1"/>
  <c r="K151" i="10" s="1"/>
  <c r="L151" i="10" s="1"/>
  <c r="Q65" i="12"/>
  <c r="S65" i="12" s="1"/>
  <c r="K150" i="10" s="1"/>
  <c r="L150" i="10" s="1"/>
  <c r="Q64" i="12"/>
  <c r="S64" i="12" s="1"/>
  <c r="K149" i="10" s="1"/>
  <c r="L149" i="10" s="1"/>
  <c r="Q63" i="12"/>
  <c r="S63" i="12" s="1"/>
  <c r="K148" i="10" s="1"/>
  <c r="L148" i="10" s="1"/>
  <c r="Q62" i="12"/>
  <c r="S62" i="12"/>
  <c r="K147" i="10" s="1"/>
  <c r="L147" i="10" s="1"/>
  <c r="Q61" i="12"/>
  <c r="S61" i="12"/>
  <c r="K146" i="10" s="1"/>
  <c r="L146" i="10" s="1"/>
  <c r="Q55" i="12"/>
  <c r="S55" i="12"/>
  <c r="H168" i="10" s="1"/>
  <c r="I168" i="10" s="1"/>
  <c r="Q54" i="12"/>
  <c r="S54" i="12" s="1"/>
  <c r="H167" i="10" s="1"/>
  <c r="I167" i="10" s="1"/>
  <c r="Q53" i="12"/>
  <c r="S53" i="12" s="1"/>
  <c r="H166" i="10" s="1"/>
  <c r="I166" i="10" s="1"/>
  <c r="Q52" i="12"/>
  <c r="S52" i="12" s="1"/>
  <c r="H165" i="10" s="1"/>
  <c r="I165" i="10" s="1"/>
  <c r="Q51" i="12"/>
  <c r="S51" i="12"/>
  <c r="H164" i="10" s="1"/>
  <c r="I164" i="10" s="1"/>
  <c r="Q50" i="12"/>
  <c r="S50" i="12" s="1"/>
  <c r="H163" i="10" s="1"/>
  <c r="I163" i="10" s="1"/>
  <c r="Q49" i="12"/>
  <c r="S49" i="12" s="1"/>
  <c r="H162" i="10" s="1"/>
  <c r="I162" i="10" s="1"/>
  <c r="Q48" i="12"/>
  <c r="S48" i="12" s="1"/>
  <c r="H161" i="10" s="1"/>
  <c r="I161" i="10" s="1"/>
  <c r="Q47" i="12"/>
  <c r="S47" i="12" s="1"/>
  <c r="H160" i="10" s="1"/>
  <c r="I160" i="10" s="1"/>
  <c r="Q46" i="12"/>
  <c r="S46" i="12" s="1"/>
  <c r="H159" i="10" s="1"/>
  <c r="I159" i="10" s="1"/>
  <c r="Q45" i="12"/>
  <c r="S45" i="12" s="1"/>
  <c r="H158" i="10" s="1"/>
  <c r="I158" i="10" s="1"/>
  <c r="Q44" i="12"/>
  <c r="S44" i="12" s="1"/>
  <c r="H157" i="10" s="1"/>
  <c r="I157" i="10" s="1"/>
  <c r="Q43" i="12"/>
  <c r="S43" i="12"/>
  <c r="H156" i="10" s="1"/>
  <c r="I156" i="10" s="1"/>
  <c r="Q42" i="12"/>
  <c r="S42" i="12" s="1"/>
  <c r="H155" i="10" s="1"/>
  <c r="I155" i="10" s="1"/>
  <c r="Q41" i="12"/>
  <c r="S41" i="12"/>
  <c r="H154" i="10" s="1"/>
  <c r="I154" i="10" s="1"/>
  <c r="Q40" i="12"/>
  <c r="S40" i="12" s="1"/>
  <c r="H153" i="10" s="1"/>
  <c r="I153" i="10" s="1"/>
  <c r="Q39" i="12"/>
  <c r="S39" i="12" s="1"/>
  <c r="H152" i="10" s="1"/>
  <c r="I152" i="10" s="1"/>
  <c r="Q38" i="12"/>
  <c r="S38" i="12" s="1"/>
  <c r="H151" i="10" s="1"/>
  <c r="I151" i="10" s="1"/>
  <c r="Q37" i="12"/>
  <c r="S37" i="12" s="1"/>
  <c r="H150" i="10" s="1"/>
  <c r="I150" i="10" s="1"/>
  <c r="Q36" i="12"/>
  <c r="S36" i="12" s="1"/>
  <c r="H149" i="10" s="1"/>
  <c r="I149" i="10" s="1"/>
  <c r="Q35" i="12"/>
  <c r="S35" i="12" s="1"/>
  <c r="H148" i="10" s="1"/>
  <c r="I148" i="10" s="1"/>
  <c r="Q34" i="12"/>
  <c r="S34" i="12" s="1"/>
  <c r="H147" i="10" s="1"/>
  <c r="I147" i="10" s="1"/>
  <c r="Q33" i="12"/>
  <c r="S33" i="12"/>
  <c r="H146" i="10" s="1"/>
  <c r="I146" i="10" s="1"/>
  <c r="Q27" i="12"/>
  <c r="S27" i="12" s="1"/>
  <c r="E168" i="10" s="1"/>
  <c r="F168" i="10" s="1"/>
  <c r="Q26" i="12"/>
  <c r="S26" i="12" s="1"/>
  <c r="E167" i="10" s="1"/>
  <c r="F167" i="10" s="1"/>
  <c r="Q25" i="12"/>
  <c r="S25" i="12" s="1"/>
  <c r="E166" i="10" s="1"/>
  <c r="F166" i="10" s="1"/>
  <c r="Q24" i="12"/>
  <c r="S24" i="12" s="1"/>
  <c r="E165" i="10" s="1"/>
  <c r="F165" i="10" s="1"/>
  <c r="Q23" i="12"/>
  <c r="S23" i="12"/>
  <c r="E164" i="10" s="1"/>
  <c r="F164" i="10" s="1"/>
  <c r="Q22" i="12"/>
  <c r="S22" i="12" s="1"/>
  <c r="E163" i="10" s="1"/>
  <c r="F163" i="10" s="1"/>
  <c r="Q21" i="12"/>
  <c r="S21" i="12" s="1"/>
  <c r="E162" i="10" s="1"/>
  <c r="F162" i="10" s="1"/>
  <c r="Q20" i="12"/>
  <c r="S20" i="12" s="1"/>
  <c r="E161" i="10" s="1"/>
  <c r="F161" i="10" s="1"/>
  <c r="Q19" i="12"/>
  <c r="S19" i="12" s="1"/>
  <c r="E160" i="10" s="1"/>
  <c r="F160" i="10" s="1"/>
  <c r="Q18" i="12"/>
  <c r="S18" i="12" s="1"/>
  <c r="E159" i="10" s="1"/>
  <c r="F159" i="10" s="1"/>
  <c r="Q17" i="12"/>
  <c r="S17" i="12" s="1"/>
  <c r="E158" i="10" s="1"/>
  <c r="F158" i="10" s="1"/>
  <c r="Q16" i="12"/>
  <c r="S16" i="12" s="1"/>
  <c r="E157" i="10" s="1"/>
  <c r="F157" i="10" s="1"/>
  <c r="Q15" i="12"/>
  <c r="S15" i="12"/>
  <c r="E156" i="10"/>
  <c r="F156" i="10" s="1"/>
  <c r="Q14" i="12"/>
  <c r="S14" i="12" s="1"/>
  <c r="E155" i="10" s="1"/>
  <c r="F155" i="10" s="1"/>
  <c r="Q13" i="12"/>
  <c r="S13" i="12" s="1"/>
  <c r="E154" i="10" s="1"/>
  <c r="F154" i="10" s="1"/>
  <c r="Q12" i="12"/>
  <c r="S12" i="12"/>
  <c r="E153" i="10" s="1"/>
  <c r="F153" i="10" s="1"/>
  <c r="Q11" i="12"/>
  <c r="S11" i="12" s="1"/>
  <c r="E152" i="10" s="1"/>
  <c r="F152" i="10" s="1"/>
  <c r="Q10" i="12"/>
  <c r="S10" i="12" s="1"/>
  <c r="E151" i="10" s="1"/>
  <c r="F151" i="10" s="1"/>
  <c r="Q9" i="12"/>
  <c r="S9" i="12" s="1"/>
  <c r="E150" i="10" s="1"/>
  <c r="F150" i="10" s="1"/>
  <c r="Q8" i="12"/>
  <c r="S8" i="12" s="1"/>
  <c r="E149" i="10" s="1"/>
  <c r="F149" i="10" s="1"/>
  <c r="Q7" i="12"/>
  <c r="S7" i="12"/>
  <c r="E148" i="10"/>
  <c r="F148" i="10" s="1"/>
  <c r="Q6" i="12"/>
  <c r="S6" i="12" s="1"/>
  <c r="E147" i="10" s="1"/>
  <c r="F147" i="10" s="1"/>
  <c r="Q5" i="12"/>
  <c r="S5" i="12" s="1"/>
  <c r="E146" i="10" s="1"/>
  <c r="F146" i="10" s="1"/>
  <c r="S190" i="14"/>
  <c r="U190" i="14" s="1"/>
  <c r="S189" i="14"/>
  <c r="U189" i="14" s="1"/>
  <c r="S188" i="14"/>
  <c r="U188" i="14" s="1"/>
  <c r="M124" i="10" s="1"/>
  <c r="N124" i="10" s="1"/>
  <c r="S187" i="14"/>
  <c r="U187" i="14" s="1"/>
  <c r="M123" i="10" s="1"/>
  <c r="N123" i="10" s="1"/>
  <c r="S186" i="14"/>
  <c r="U186" i="14" s="1"/>
  <c r="M122" i="10" s="1"/>
  <c r="N122" i="10" s="1"/>
  <c r="S185" i="14"/>
  <c r="U185" i="14" s="1"/>
  <c r="M121" i="10" s="1"/>
  <c r="N121" i="10" s="1"/>
  <c r="S184" i="14"/>
  <c r="U184" i="14" s="1"/>
  <c r="M120" i="10" s="1"/>
  <c r="N120" i="10" s="1"/>
  <c r="S183" i="14"/>
  <c r="U183" i="14" s="1"/>
  <c r="M119" i="10" s="1"/>
  <c r="N119" i="10" s="1"/>
  <c r="S182" i="14"/>
  <c r="U182" i="14" s="1"/>
  <c r="M118" i="10" s="1"/>
  <c r="N118" i="10" s="1"/>
  <c r="S177" i="14"/>
  <c r="U177" i="14" s="1"/>
  <c r="F133" i="10" s="1"/>
  <c r="G133" i="10" s="1"/>
  <c r="S176" i="14"/>
  <c r="U176" i="14" s="1"/>
  <c r="F132" i="10" s="1"/>
  <c r="G132" i="10" s="1"/>
  <c r="S175" i="14"/>
  <c r="U175" i="14" s="1"/>
  <c r="F131" i="10" s="1"/>
  <c r="G131" i="10" s="1"/>
  <c r="S174" i="14"/>
  <c r="U174" i="14" s="1"/>
  <c r="F130" i="10" s="1"/>
  <c r="G130" i="10" s="1"/>
  <c r="S139" i="14"/>
  <c r="U139" i="14" s="1"/>
  <c r="O99" i="10" s="1"/>
  <c r="P99" i="10" s="1"/>
  <c r="S138" i="14"/>
  <c r="U138" i="14" s="1"/>
  <c r="O98" i="10" s="1"/>
  <c r="P98" i="10" s="1"/>
  <c r="S137" i="14"/>
  <c r="U137" i="14" s="1"/>
  <c r="O97" i="10" s="1"/>
  <c r="P97" i="10" s="1"/>
  <c r="S136" i="14"/>
  <c r="U136" i="14" s="1"/>
  <c r="O96" i="10" s="1"/>
  <c r="P96" i="10" s="1"/>
  <c r="S135" i="14"/>
  <c r="U135" i="14" s="1"/>
  <c r="O95" i="10" s="1"/>
  <c r="P95" i="10" s="1"/>
  <c r="S134" i="14"/>
  <c r="U134" i="14" s="1"/>
  <c r="O94" i="10" s="1"/>
  <c r="P94" i="10" s="1"/>
  <c r="S133" i="14"/>
  <c r="U133" i="14" s="1"/>
  <c r="O93" i="10" s="1"/>
  <c r="P93" i="10" s="1"/>
  <c r="S132" i="14"/>
  <c r="U132" i="14" s="1"/>
  <c r="O92" i="10" s="1"/>
  <c r="P92" i="10" s="1"/>
  <c r="S131" i="14"/>
  <c r="U131" i="14" s="1"/>
  <c r="O91" i="10" s="1"/>
  <c r="P91" i="10" s="1"/>
  <c r="S130" i="14"/>
  <c r="U130" i="14" s="1"/>
  <c r="O90" i="10" s="1"/>
  <c r="P90" i="10" s="1"/>
  <c r="S124" i="14"/>
  <c r="U124" i="14" s="1"/>
  <c r="L99" i="10" s="1"/>
  <c r="M99" i="10" s="1"/>
  <c r="S123" i="14"/>
  <c r="U123" i="14" s="1"/>
  <c r="L98" i="10" s="1"/>
  <c r="M98" i="10" s="1"/>
  <c r="S122" i="14"/>
  <c r="U122" i="14" s="1"/>
  <c r="L97" i="10" s="1"/>
  <c r="M97" i="10" s="1"/>
  <c r="S121" i="14"/>
  <c r="U121" i="14" s="1"/>
  <c r="L96" i="10" s="1"/>
  <c r="M96" i="10" s="1"/>
  <c r="S120" i="14"/>
  <c r="U120" i="14" s="1"/>
  <c r="L95" i="10" s="1"/>
  <c r="M95" i="10" s="1"/>
  <c r="S119" i="14"/>
  <c r="U119" i="14" s="1"/>
  <c r="L94" i="10" s="1"/>
  <c r="M94" i="10" s="1"/>
  <c r="S118" i="14"/>
  <c r="U118" i="14" s="1"/>
  <c r="L93" i="10" s="1"/>
  <c r="M93" i="10" s="1"/>
  <c r="S117" i="14"/>
  <c r="U117" i="14" s="1"/>
  <c r="L92" i="10" s="1"/>
  <c r="M92" i="10" s="1"/>
  <c r="S116" i="14"/>
  <c r="U116" i="14" s="1"/>
  <c r="L91" i="10" s="1"/>
  <c r="M91" i="10" s="1"/>
  <c r="S115" i="14"/>
  <c r="U115" i="14" s="1"/>
  <c r="L90" i="10" s="1"/>
  <c r="M90" i="10" s="1"/>
  <c r="S110" i="14"/>
  <c r="U110" i="14" s="1"/>
  <c r="I99" i="10" s="1"/>
  <c r="J99" i="10" s="1"/>
  <c r="S109" i="14"/>
  <c r="U109" i="14" s="1"/>
  <c r="I98" i="10" s="1"/>
  <c r="J98" i="10" s="1"/>
  <c r="S108" i="14"/>
  <c r="U108" i="14" s="1"/>
  <c r="I97" i="10" s="1"/>
  <c r="J97" i="10" s="1"/>
  <c r="S107" i="14"/>
  <c r="U107" i="14" s="1"/>
  <c r="I96" i="10" s="1"/>
  <c r="J96" i="10" s="1"/>
  <c r="S106" i="14"/>
  <c r="U106" i="14" s="1"/>
  <c r="I95" i="10" s="1"/>
  <c r="J95" i="10" s="1"/>
  <c r="S105" i="14"/>
  <c r="U105" i="14" s="1"/>
  <c r="I94" i="10" s="1"/>
  <c r="J94" i="10" s="1"/>
  <c r="S104" i="14"/>
  <c r="U104" i="14" s="1"/>
  <c r="I93" i="10" s="1"/>
  <c r="J93" i="10" s="1"/>
  <c r="S103" i="14"/>
  <c r="U103" i="14" s="1"/>
  <c r="I92" i="10" s="1"/>
  <c r="J92" i="10" s="1"/>
  <c r="S102" i="14"/>
  <c r="U102" i="14" s="1"/>
  <c r="I91" i="10" s="1"/>
  <c r="J91" i="10" s="1"/>
  <c r="S101" i="14"/>
  <c r="U101" i="14" s="1"/>
  <c r="I90" i="10" s="1"/>
  <c r="J90" i="10" s="1"/>
  <c r="S96" i="14"/>
  <c r="U96" i="14" s="1"/>
  <c r="R84" i="10" s="1"/>
  <c r="S84" i="10" s="1"/>
  <c r="S95" i="14"/>
  <c r="U95" i="14" s="1"/>
  <c r="R83" i="10" s="1"/>
  <c r="S83" i="10" s="1"/>
  <c r="S94" i="14"/>
  <c r="U94" i="14" s="1"/>
  <c r="R82" i="10" s="1"/>
  <c r="S82" i="10" s="1"/>
  <c r="S93" i="14"/>
  <c r="U93" i="14" s="1"/>
  <c r="R81" i="10" s="1"/>
  <c r="S81" i="10" s="1"/>
  <c r="S92" i="14"/>
  <c r="U92" i="14" s="1"/>
  <c r="R80" i="10" s="1"/>
  <c r="S80" i="10" s="1"/>
  <c r="S91" i="14"/>
  <c r="U91" i="14" s="1"/>
  <c r="R79" i="10" s="1"/>
  <c r="S79" i="10" s="1"/>
  <c r="S90" i="14"/>
  <c r="U90" i="14" s="1"/>
  <c r="R78" i="10" s="1"/>
  <c r="S78" i="10" s="1"/>
  <c r="S89" i="14"/>
  <c r="U89" i="14" s="1"/>
  <c r="R77" i="10" s="1"/>
  <c r="S77" i="10" s="1"/>
  <c r="S88" i="14"/>
  <c r="U88" i="14" s="1"/>
  <c r="R76" i="10" s="1"/>
  <c r="S76" i="10" s="1"/>
  <c r="S87" i="14"/>
  <c r="U87" i="14" s="1"/>
  <c r="R75" i="10" s="1"/>
  <c r="S75" i="10" s="1"/>
  <c r="S82" i="14"/>
  <c r="U82" i="14" s="1"/>
  <c r="O84" i="10" s="1"/>
  <c r="P84" i="10" s="1"/>
  <c r="S81" i="14"/>
  <c r="U81" i="14" s="1"/>
  <c r="O83" i="10" s="1"/>
  <c r="P83" i="10" s="1"/>
  <c r="S80" i="14"/>
  <c r="U80" i="14" s="1"/>
  <c r="O82" i="10" s="1"/>
  <c r="P82" i="10" s="1"/>
  <c r="S79" i="14"/>
  <c r="U79" i="14" s="1"/>
  <c r="O81" i="10" s="1"/>
  <c r="P81" i="10" s="1"/>
  <c r="S78" i="14"/>
  <c r="U78" i="14" s="1"/>
  <c r="O80" i="10" s="1"/>
  <c r="P80" i="10" s="1"/>
  <c r="S77" i="14"/>
  <c r="U77" i="14" s="1"/>
  <c r="O79" i="10" s="1"/>
  <c r="P79" i="10" s="1"/>
  <c r="S76" i="14"/>
  <c r="U76" i="14" s="1"/>
  <c r="O78" i="10" s="1"/>
  <c r="P78" i="10" s="1"/>
  <c r="S75" i="14"/>
  <c r="U75" i="14" s="1"/>
  <c r="O77" i="10" s="1"/>
  <c r="P77" i="10" s="1"/>
  <c r="S74" i="14"/>
  <c r="U74" i="14" s="1"/>
  <c r="O76" i="10" s="1"/>
  <c r="P76" i="10" s="1"/>
  <c r="S73" i="14"/>
  <c r="U73" i="14" s="1"/>
  <c r="O75" i="10" s="1"/>
  <c r="P75" i="10" s="1"/>
  <c r="S68" i="14"/>
  <c r="U68" i="14" s="1"/>
  <c r="L84" i="10" s="1"/>
  <c r="M84" i="10" s="1"/>
  <c r="S66" i="14"/>
  <c r="U66" i="14" s="1"/>
  <c r="L82" i="10" s="1"/>
  <c r="M82" i="10" s="1"/>
  <c r="S65" i="14"/>
  <c r="U65" i="14" s="1"/>
  <c r="L81" i="10" s="1"/>
  <c r="M81" i="10" s="1"/>
  <c r="S64" i="14"/>
  <c r="U64" i="14" s="1"/>
  <c r="L80" i="10" s="1"/>
  <c r="M80" i="10" s="1"/>
  <c r="S63" i="14"/>
  <c r="U63" i="14" s="1"/>
  <c r="L79" i="10" s="1"/>
  <c r="M79" i="10" s="1"/>
  <c r="S62" i="14"/>
  <c r="U62" i="14" s="1"/>
  <c r="L78" i="10" s="1"/>
  <c r="M78" i="10" s="1"/>
  <c r="S61" i="14"/>
  <c r="U61" i="14" s="1"/>
  <c r="L77" i="10" s="1"/>
  <c r="M77" i="10" s="1"/>
  <c r="S60" i="14"/>
  <c r="U60" i="14" s="1"/>
  <c r="L76" i="10" s="1"/>
  <c r="M76" i="10" s="1"/>
  <c r="S59" i="14"/>
  <c r="U59" i="14" s="1"/>
  <c r="L75" i="10" s="1"/>
  <c r="M75" i="10" s="1"/>
  <c r="S54" i="14"/>
  <c r="U54" i="14" s="1"/>
  <c r="I84" i="10" s="1"/>
  <c r="J84" i="10" s="1"/>
  <c r="S53" i="14"/>
  <c r="U53" i="14" s="1"/>
  <c r="I83" i="10" s="1"/>
  <c r="J83" i="10" s="1"/>
  <c r="S52" i="14"/>
  <c r="U52" i="14" s="1"/>
  <c r="I82" i="10" s="1"/>
  <c r="J82" i="10" s="1"/>
  <c r="S51" i="14"/>
  <c r="U51" i="14" s="1"/>
  <c r="I81" i="10" s="1"/>
  <c r="J81" i="10" s="1"/>
  <c r="S50" i="14"/>
  <c r="U50" i="14" s="1"/>
  <c r="I80" i="10" s="1"/>
  <c r="J80" i="10" s="1"/>
  <c r="S49" i="14"/>
  <c r="U49" i="14" s="1"/>
  <c r="I79" i="10" s="1"/>
  <c r="J79" i="10" s="1"/>
  <c r="S48" i="14"/>
  <c r="U48" i="14" s="1"/>
  <c r="I78" i="10" s="1"/>
  <c r="J78" i="10" s="1"/>
  <c r="S47" i="14"/>
  <c r="U47" i="14" s="1"/>
  <c r="I77" i="10" s="1"/>
  <c r="J77" i="10" s="1"/>
  <c r="S46" i="14"/>
  <c r="U46" i="14" s="1"/>
  <c r="I76" i="10" s="1"/>
  <c r="J76" i="10" s="1"/>
  <c r="S45" i="14"/>
  <c r="U45" i="14" s="1"/>
  <c r="I75" i="10" s="1"/>
  <c r="J75" i="10" s="1"/>
  <c r="S35" i="14"/>
  <c r="U35" i="14" s="1"/>
  <c r="F84" i="10" s="1"/>
  <c r="G84" i="10" s="1"/>
  <c r="S34" i="14"/>
  <c r="U34" i="14" s="1"/>
  <c r="F83" i="10" s="1"/>
  <c r="G83" i="10" s="1"/>
  <c r="S33" i="14"/>
  <c r="U33" i="14" s="1"/>
  <c r="F82" i="10" s="1"/>
  <c r="G82" i="10" s="1"/>
  <c r="S32" i="14"/>
  <c r="U32" i="14" s="1"/>
  <c r="F81" i="10" s="1"/>
  <c r="G81" i="10" s="1"/>
  <c r="S31" i="14"/>
  <c r="U31" i="14" s="1"/>
  <c r="F80" i="10" s="1"/>
  <c r="G80" i="10" s="1"/>
  <c r="S30" i="14"/>
  <c r="U30" i="14" s="1"/>
  <c r="F79" i="10" s="1"/>
  <c r="G79" i="10" s="1"/>
  <c r="S29" i="14"/>
  <c r="U29" i="14" s="1"/>
  <c r="F78" i="10" s="1"/>
  <c r="G78" i="10" s="1"/>
  <c r="S28" i="14"/>
  <c r="U28" i="14" s="1"/>
  <c r="F77" i="10" s="1"/>
  <c r="G77" i="10" s="1"/>
  <c r="S27" i="14"/>
  <c r="U27" i="14" s="1"/>
  <c r="F76" i="10" s="1"/>
  <c r="G76" i="10" s="1"/>
  <c r="S26" i="14"/>
  <c r="U26" i="14" s="1"/>
  <c r="F75" i="10" s="1"/>
  <c r="G75" i="10" s="1"/>
  <c r="S18" i="14"/>
  <c r="U18" i="14" s="1"/>
  <c r="C84" i="10" s="1"/>
  <c r="D84" i="10" s="1"/>
  <c r="S17" i="14"/>
  <c r="U17" i="14" s="1"/>
  <c r="C83" i="10" s="1"/>
  <c r="D83" i="10" s="1"/>
  <c r="S16" i="14"/>
  <c r="U16" i="14" s="1"/>
  <c r="C82" i="10" s="1"/>
  <c r="D82" i="10" s="1"/>
  <c r="S15" i="14"/>
  <c r="U15" i="14" s="1"/>
  <c r="C81" i="10" s="1"/>
  <c r="D81" i="10" s="1"/>
  <c r="S14" i="14"/>
  <c r="U14" i="14" s="1"/>
  <c r="C80" i="10" s="1"/>
  <c r="D80" i="10" s="1"/>
  <c r="S13" i="14"/>
  <c r="U13" i="14" s="1"/>
  <c r="C79" i="10" s="1"/>
  <c r="D79" i="10" s="1"/>
  <c r="S12" i="14"/>
  <c r="U12" i="14" s="1"/>
  <c r="C78" i="10" s="1"/>
  <c r="D78" i="10" s="1"/>
  <c r="S11" i="14"/>
  <c r="U11" i="14" s="1"/>
  <c r="C77" i="10" s="1"/>
  <c r="D77" i="10" s="1"/>
  <c r="S10" i="14"/>
  <c r="U10" i="14" s="1"/>
  <c r="C76" i="10" s="1"/>
  <c r="D76" i="10" s="1"/>
  <c r="S9" i="14"/>
  <c r="U9" i="14" s="1"/>
  <c r="C75" i="10" s="1"/>
  <c r="D75" i="10" s="1"/>
  <c r="J36" i="21"/>
  <c r="D7" i="21" s="1"/>
  <c r="J13" i="21"/>
  <c r="J25" i="21"/>
  <c r="J21" i="21"/>
  <c r="J28" i="21"/>
  <c r="J24" i="21"/>
  <c r="J17" i="21"/>
  <c r="H35" i="17"/>
  <c r="C38" i="17"/>
  <c r="J18" i="21"/>
  <c r="G14" i="20"/>
  <c r="J20" i="21"/>
  <c r="F12" i="21"/>
  <c r="G37" i="21"/>
  <c r="I35" i="17"/>
  <c r="I14" i="20"/>
  <c r="D13" i="21"/>
  <c r="F13" i="21" s="1"/>
  <c r="D37" i="21"/>
  <c r="Q80" i="2"/>
  <c r="Q77" i="2"/>
  <c r="N127" i="10" l="1"/>
  <c r="M126" i="10"/>
  <c r="N126" i="10" s="1"/>
  <c r="O337" i="10"/>
  <c r="Q330" i="10"/>
  <c r="R330" i="10" s="1"/>
  <c r="Q333" i="10"/>
  <c r="R333" i="10" s="1"/>
  <c r="Q76" i="2"/>
  <c r="M125" i="10"/>
  <c r="N125" i="10" s="1"/>
  <c r="C330" i="10"/>
  <c r="D330" i="10" s="1"/>
  <c r="D337" i="10" s="1"/>
  <c r="Q78" i="2"/>
  <c r="Q81" i="2"/>
  <c r="K582" i="10"/>
  <c r="P538" i="10"/>
  <c r="R540" i="10" s="1"/>
  <c r="Q58" i="10" s="1"/>
  <c r="G123" i="10"/>
  <c r="D253" i="10"/>
  <c r="S85" i="10"/>
  <c r="M100" i="10"/>
  <c r="G135" i="10"/>
  <c r="I169" i="10"/>
  <c r="G288" i="10"/>
  <c r="E365" i="10"/>
  <c r="S411" i="10"/>
  <c r="J497" i="10"/>
  <c r="S497" i="10"/>
  <c r="K566" i="10"/>
  <c r="N566" i="10"/>
  <c r="Q566" i="10"/>
  <c r="S100" i="10"/>
  <c r="G253" i="10"/>
  <c r="J411" i="10"/>
  <c r="R412" i="10" s="1"/>
  <c r="O169" i="10"/>
  <c r="H240" i="10"/>
  <c r="K337" i="10"/>
  <c r="Q312" i="10"/>
  <c r="J378" i="10"/>
  <c r="G85" i="10"/>
  <c r="L169" i="10"/>
  <c r="N365" i="10"/>
  <c r="C18" i="19"/>
  <c r="F17" i="19" s="1"/>
  <c r="C25" i="19" s="1"/>
  <c r="E34" i="19"/>
  <c r="C12" i="19"/>
  <c r="C15" i="19"/>
  <c r="F14" i="19" s="1"/>
  <c r="C23" i="19" s="1"/>
  <c r="J85" i="10"/>
  <c r="P85" i="10"/>
  <c r="J100" i="10"/>
  <c r="P100" i="10"/>
  <c r="K240" i="10"/>
  <c r="N240" i="10"/>
  <c r="Q230" i="10"/>
  <c r="G275" i="10"/>
  <c r="J288" i="10"/>
  <c r="M288" i="10"/>
  <c r="J318" i="10"/>
  <c r="H365" i="10"/>
  <c r="Q365" i="10"/>
  <c r="F37" i="21"/>
  <c r="D85" i="10"/>
  <c r="M85" i="10"/>
  <c r="F169" i="10"/>
  <c r="E240" i="10"/>
  <c r="J275" i="10"/>
  <c r="P288" i="10"/>
  <c r="K365" i="10"/>
  <c r="H37" i="21"/>
  <c r="J30" i="21"/>
  <c r="R72" i="9"/>
  <c r="B11" i="19"/>
  <c r="F11" i="19" s="1"/>
  <c r="C21" i="19" s="1"/>
  <c r="J26" i="21"/>
  <c r="J37" i="21" s="1"/>
  <c r="M27" i="18"/>
  <c r="Q83" i="2"/>
  <c r="Q334" i="10"/>
  <c r="R334" i="10" s="1"/>
  <c r="R337" i="10" l="1"/>
  <c r="R173" i="10"/>
  <c r="R340" i="10"/>
  <c r="N129" i="10"/>
  <c r="R136" i="10" s="1"/>
  <c r="R499" i="10"/>
  <c r="Q55" i="10" s="1"/>
  <c r="R582" i="10"/>
  <c r="Q60" i="10" s="1"/>
  <c r="R252" i="10"/>
  <c r="R102" i="10"/>
  <c r="R296" i="10"/>
  <c r="M378" i="10"/>
  <c r="R379" i="10" s="1"/>
  <c r="Q53" i="10" l="1"/>
  <c r="Q62" i="10" s="1"/>
  <c r="Q63" i="10" s="1"/>
  <c r="A3" i="19" s="1"/>
  <c r="A21" i="19" l="1"/>
  <c r="F21" i="19" s="1"/>
  <c r="J21" i="19" s="1"/>
  <c r="J29" i="19" s="1"/>
  <c r="A25" i="19"/>
  <c r="F25" i="19" s="1"/>
  <c r="J25" i="19" s="1"/>
  <c r="A23" i="19"/>
  <c r="F23" i="19" s="1"/>
  <c r="J23" i="19" s="1"/>
  <c r="I7" i="20" l="1"/>
  <c r="I16" i="20" s="1"/>
  <c r="G20" i="20" s="1"/>
  <c r="I20" i="20" s="1"/>
  <c r="I24" i="20" s="1"/>
  <c r="E25" i="20" s="1"/>
  <c r="I25" i="20" s="1"/>
  <c r="D6" i="21"/>
  <c r="D8" i="21" s="1"/>
  <c r="D33" i="19"/>
  <c r="G33" i="19" s="1"/>
  <c r="C37" i="17"/>
  <c r="C39" i="17" s="1"/>
  <c r="I12" i="21" l="1"/>
  <c r="I20" i="21"/>
  <c r="K20" i="21" s="1"/>
  <c r="I31" i="21"/>
  <c r="K31" i="21" s="1"/>
  <c r="I23" i="21"/>
  <c r="K23" i="21" s="1"/>
  <c r="I25" i="21"/>
  <c r="K25" i="21" s="1"/>
  <c r="I30" i="21"/>
  <c r="K30" i="21" s="1"/>
  <c r="I24" i="21"/>
  <c r="K24" i="21" s="1"/>
  <c r="I21" i="21"/>
  <c r="K21" i="21" s="1"/>
  <c r="I28" i="21"/>
  <c r="K28" i="21" s="1"/>
  <c r="I22" i="21"/>
  <c r="K22" i="21" s="1"/>
  <c r="I14" i="21"/>
  <c r="K14" i="21" s="1"/>
  <c r="I15" i="21"/>
  <c r="K15" i="21" s="1"/>
  <c r="I18" i="21"/>
  <c r="K18" i="21" s="1"/>
  <c r="I26" i="21"/>
  <c r="K26" i="21" s="1"/>
  <c r="I16" i="21"/>
  <c r="K16" i="21" s="1"/>
  <c r="I17" i="21"/>
  <c r="K17" i="21" s="1"/>
  <c r="I19" i="21"/>
  <c r="K19" i="21" s="1"/>
  <c r="I13" i="21"/>
  <c r="K13" i="21" s="1"/>
  <c r="I29" i="21"/>
  <c r="K29" i="21" s="1"/>
  <c r="G26" i="20"/>
  <c r="I26" i="20" s="1"/>
  <c r="G27" i="20"/>
  <c r="I27" i="20" s="1"/>
  <c r="I37" i="21" l="1"/>
  <c r="K12" i="21"/>
  <c r="K37" i="21" s="1"/>
  <c r="L37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atk10</author>
    <author>Rakennusliitto</author>
  </authors>
  <commentList>
    <comment ref="G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Kantikkaat tulo- ja poistosäleiköt normiajoitetaan kokoojalaatikon liitosyhteen (pyöreän) halkaisijan mm koon </t>
        </r>
        <r>
          <rPr>
            <b/>
            <sz val="9"/>
            <color indexed="81"/>
            <rFont val="Tahoma"/>
            <family val="2"/>
          </rPr>
          <t>mukaisesti taulukosta.</t>
        </r>
      </text>
    </comment>
    <comment ref="J85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Kantikkaat ilmamääräsäätimet (IMS) ja kantikkaat palopellit normiajoitetaan Mom.2. Suorakaidekanavan ja osien asennustaulukosta sarakkeen 1. mukaisesti.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Rakennusliitto</author>
  </authors>
  <commentList>
    <comment ref="F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1-Taulukon mukaan jos kyseessä on pelkkä tulo- tai poistokoje</t>
        </r>
      </text>
    </comment>
    <comment ref="E1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Koje sisältää 6-osaa, Pakettiin erikseen liitettävät koneosat hinnoitellaan koneosien normituntitaulukon mukaan. Päälleasennuksessa +30%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Rakennusliitto</author>
    <author>Räsänen Niko</author>
  </authors>
  <commentList>
    <comment ref="K1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K30" authorId="0" shapeId="0" xr:uid="{1C2DA7B0-8F1E-4AAA-A93D-89209897C986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K42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A45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Pituus = 
palkki + suojapelti yhteensä</t>
        </r>
      </text>
    </comment>
    <comment ref="K5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A59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Pituus = 
palkki + suojapelti yhteensä</t>
        </r>
      </text>
    </comment>
    <comment ref="K72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A75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Pituus = 
palkki + suojapelti yhteensä</t>
        </r>
      </text>
    </comment>
    <comment ref="I88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1. Esim: Enervent PLAZA, PANDION 
40-99kg
2. Esim: Enervent PELICAN, PEGASOS
100-210kg</t>
        </r>
      </text>
    </comment>
  </commentList>
</comments>
</file>

<file path=xl/sharedStrings.xml><?xml version="1.0" encoding="utf-8"?>
<sst xmlns="http://schemas.openxmlformats.org/spreadsheetml/2006/main" count="1473" uniqueCount="530">
  <si>
    <t>NH</t>
  </si>
  <si>
    <t>mm</t>
  </si>
  <si>
    <t>Eristetty</t>
  </si>
  <si>
    <t>Kanava</t>
  </si>
  <si>
    <t xml:space="preserve"> NH</t>
  </si>
  <si>
    <t>1.</t>
  </si>
  <si>
    <t>2.</t>
  </si>
  <si>
    <t>3.</t>
  </si>
  <si>
    <t>4.</t>
  </si>
  <si>
    <t>5.</t>
  </si>
  <si>
    <t>Patteri</t>
  </si>
  <si>
    <t>Äänenvaimennin</t>
  </si>
  <si>
    <t>NH / kpl</t>
  </si>
  <si>
    <t>VSS iv-koje. Kanavat hinnoitellaan taulukon mukaan</t>
  </si>
  <si>
    <t>KOKO</t>
  </si>
  <si>
    <t>0 - 250</t>
  </si>
  <si>
    <t>315 - 400</t>
  </si>
  <si>
    <t>500 - 630</t>
  </si>
  <si>
    <t>800 - 1000</t>
  </si>
  <si>
    <t>1250 -</t>
  </si>
  <si>
    <t>Tärinän eristimet</t>
  </si>
  <si>
    <t>Suojaverkko</t>
  </si>
  <si>
    <t>Jalat</t>
  </si>
  <si>
    <t>Kangasliitin</t>
  </si>
  <si>
    <t>Johtosiivistö</t>
  </si>
  <si>
    <t>Puhalluskartio</t>
  </si>
  <si>
    <t>Puhallin</t>
  </si>
  <si>
    <t>Huippuimuri</t>
  </si>
  <si>
    <t>Imukartio</t>
  </si>
  <si>
    <t>Kiljotiini, Kaarisakset, Kantti, Lokkari, Mankeli, Pistehitsi, Sikkikone sähkökäyttöinen.</t>
  </si>
  <si>
    <t>Yksinkertainen kanavan teko</t>
  </si>
  <si>
    <t>NH / m2</t>
  </si>
  <si>
    <t xml:space="preserve">Yksinkertainen </t>
  </si>
  <si>
    <t>LKT</t>
  </si>
  <si>
    <t>TL</t>
  </si>
  <si>
    <t>&gt; 0,59 m2</t>
  </si>
  <si>
    <t>&lt; 0,6 m2</t>
  </si>
  <si>
    <t>Putkituki / Kulmatuki</t>
  </si>
  <si>
    <t>D cm</t>
  </si>
  <si>
    <t>Tuulikaappikoje, pientalo LTO ullakkomalli</t>
  </si>
  <si>
    <t xml:space="preserve"> yli 1 mm pellille korotus</t>
  </si>
  <si>
    <t>Kanavapuhallin</t>
  </si>
  <si>
    <t>m 3 / s</t>
  </si>
  <si>
    <t>Hinnoittelun käyttö edellyttää asialliset verstaskoneet</t>
  </si>
  <si>
    <t>Talotuuletin, Liesikupu, Tuuletin</t>
  </si>
  <si>
    <t>Koko</t>
  </si>
  <si>
    <t>Moottoripelti</t>
  </si>
  <si>
    <t>Rautarakenteet teko ja asennus  hinnottelematon työ</t>
  </si>
  <si>
    <t>KOJEEN TUOTTO  m3 / s</t>
  </si>
  <si>
    <t>Paino kg</t>
  </si>
  <si>
    <t>NH /kpl</t>
  </si>
  <si>
    <t>Liitäntäkoko</t>
  </si>
  <si>
    <t xml:space="preserve"> - 50 mm</t>
  </si>
  <si>
    <t xml:space="preserve"> 50 - mm</t>
  </si>
  <si>
    <t>Sarake</t>
  </si>
  <si>
    <t xml:space="preserve"> 500 -</t>
  </si>
  <si>
    <t>6.</t>
  </si>
  <si>
    <t>7.</t>
  </si>
  <si>
    <t>8.</t>
  </si>
  <si>
    <t>9.</t>
  </si>
  <si>
    <t>10.</t>
  </si>
  <si>
    <t>Rivi</t>
  </si>
  <si>
    <t>Jäähdytyskoje</t>
  </si>
  <si>
    <t>Laite</t>
  </si>
  <si>
    <t>Urakan ulkopuolinen työ jolla on olemassa kattava hinnoittelu</t>
  </si>
  <si>
    <t>Hinnoittelu taulukon mukaan</t>
  </si>
  <si>
    <t>51 - 100 mm</t>
  </si>
  <si>
    <t xml:space="preserve"> </t>
  </si>
  <si>
    <t>Eristetty kanava</t>
  </si>
  <si>
    <t xml:space="preserve">Eristetty kanava </t>
  </si>
  <si>
    <t xml:space="preserve">Yksinkertainen MY keskeinen / KY 90-45-30 </t>
  </si>
  <si>
    <t>Eristetty  MY keskeinen KY / 90-45-30</t>
  </si>
  <si>
    <t>Eristetty osa /  kanava mitataan ulkokuoren mukaan</t>
  </si>
  <si>
    <t>PYÖREÄT KANAVAT JA OSAT</t>
  </si>
  <si>
    <t>Äänieristyspatja asennettuna kaikki koot</t>
  </si>
  <si>
    <t>Pakettiin erikseen liitettävät koneosat</t>
  </si>
  <si>
    <t>Yksinkertainen MY ja KY epäkeskeinen</t>
  </si>
  <si>
    <t>IV-LYHENTEET</t>
  </si>
  <si>
    <t>PK6025-ZN05</t>
  </si>
  <si>
    <t>P-kanava 250 s=0,5 l=6</t>
  </si>
  <si>
    <t>P-kanava tulpattu 250 s=0,5 l=6</t>
  </si>
  <si>
    <t>PKL6050025</t>
  </si>
  <si>
    <t>Lämpöeristetty kanava 250 Le=50 l=6</t>
  </si>
  <si>
    <t>PKÄ6050025</t>
  </si>
  <si>
    <t>Äänieristetty kanava 250 Äe=50 l=6</t>
  </si>
  <si>
    <t>PKP6050025</t>
  </si>
  <si>
    <t>Paloeristetty kanava 250 Pe=50 l=6</t>
  </si>
  <si>
    <t>Kantikas kanava 300x200 s=0,5 l=2</t>
  </si>
  <si>
    <t>KYK90025</t>
  </si>
  <si>
    <t>Kulmayhde 90 250</t>
  </si>
  <si>
    <t>KYK45025</t>
  </si>
  <si>
    <t>Kulmayhde 45 250</t>
  </si>
  <si>
    <t>LKTK025</t>
  </si>
  <si>
    <t>Lähtökaulus tasopinnasta 250</t>
  </si>
  <si>
    <t>LKPK025-025</t>
  </si>
  <si>
    <t>Lähtökaulus putkelle 250-250</t>
  </si>
  <si>
    <t>POK025</t>
  </si>
  <si>
    <t>Pohja 250</t>
  </si>
  <si>
    <t>LYPK025</t>
  </si>
  <si>
    <t>Liitin putkelle 250</t>
  </si>
  <si>
    <t>TLPP025</t>
  </si>
  <si>
    <t>Tarkastusluukku pyöreälle 250</t>
  </si>
  <si>
    <t>TLTP040x020</t>
  </si>
  <si>
    <t>Tarkastusluukku tasopintaan 400x200</t>
  </si>
  <si>
    <t>MYK025-0200</t>
  </si>
  <si>
    <t>Muuntoyhde 250-200</t>
  </si>
  <si>
    <t>TLPP025-A30</t>
  </si>
  <si>
    <t>Tarkastusluukku paloluokka A30 E=60</t>
  </si>
  <si>
    <t>SP025</t>
  </si>
  <si>
    <t>Säätöpelti 250 Esim:PRA,Iiris, MRS</t>
  </si>
  <si>
    <t>PP025</t>
  </si>
  <si>
    <t>Palopelti 250</t>
  </si>
  <si>
    <t>THPK04003150250</t>
  </si>
  <si>
    <t>T-Haara 400/315/250</t>
  </si>
  <si>
    <t>MYE025-0200</t>
  </si>
  <si>
    <t>Muuntoyhde epäkeskeinen 250-200</t>
  </si>
  <si>
    <t>USAV250</t>
  </si>
  <si>
    <t>Ulkosäleikkö 250</t>
  </si>
  <si>
    <t>ÄV02501200</t>
  </si>
  <si>
    <t>Äänenvaimennin 250 l=1200</t>
  </si>
  <si>
    <t>PK2300x200 ZN05</t>
  </si>
  <si>
    <t>PKT6025-ZN05</t>
  </si>
  <si>
    <t>MY;t ja KY;t =ympäryysmitta x kerroin</t>
  </si>
  <si>
    <t>NH/kpl</t>
  </si>
  <si>
    <t xml:space="preserve">     3,24 - 4,00</t>
  </si>
  <si>
    <t>Koje sisältää 3-osaa</t>
  </si>
  <si>
    <t>Tehdasvalmisteinen teline kojeille sisältyy asennustapaan</t>
  </si>
  <si>
    <t>Työnormit sisältää haalauksen nosturin ulottuvilta iv-konehuoneeseen</t>
  </si>
  <si>
    <t>Ääniloukku, Suodatinosa</t>
  </si>
  <si>
    <t>7,00 -10,00</t>
  </si>
  <si>
    <t>7,00 - 10,00</t>
  </si>
  <si>
    <t>Eristetty  MY ja KY epäkeskeinen</t>
  </si>
  <si>
    <t>KONEOSIEN NORMITUNTITAULUKKO</t>
  </si>
  <si>
    <t>ITSETEHTYJEN JA VALMIIDEN OSIEN ASENNUS</t>
  </si>
  <si>
    <t>ITSETEHTYIHIN KANAVIIN JA OSIIN</t>
  </si>
  <si>
    <t xml:space="preserve">                                                   </t>
  </si>
  <si>
    <t>hinnoitellaan koneosien normituntitaulukon mukaan</t>
  </si>
  <si>
    <t>Tehdasvalmisteiset</t>
  </si>
  <si>
    <t>OSIEN TEKO</t>
  </si>
  <si>
    <t>m</t>
  </si>
  <si>
    <t>Työnantaja</t>
  </si>
  <si>
    <t>Työnumero</t>
  </si>
  <si>
    <t>Työmaa</t>
  </si>
  <si>
    <t>Välimittaus</t>
  </si>
  <si>
    <t>Loppumittaus</t>
  </si>
  <si>
    <t>KPL</t>
  </si>
  <si>
    <t xml:space="preserve">   1. Eristämätön kanava</t>
  </si>
  <si>
    <t xml:space="preserve">   TARKASTUSLUUKKU (kantikas ja pyöreä)</t>
  </si>
  <si>
    <t xml:space="preserve">  Eristämätön</t>
  </si>
  <si>
    <t xml:space="preserve">  Eristetty</t>
  </si>
  <si>
    <t xml:space="preserve">   8. Eristämätön Haara, saapasosa</t>
  </si>
  <si>
    <t>Jälkilämmityspatteri ja jäähdytyspatteri hinnoitellaan kanavassa kulkevan</t>
  </si>
  <si>
    <t>ilmamäärän mukaan taulukosta.</t>
  </si>
  <si>
    <t>NH/m</t>
  </si>
  <si>
    <t>0 - 1m2</t>
  </si>
  <si>
    <t>1,2m2</t>
  </si>
  <si>
    <t>1,4m2</t>
  </si>
  <si>
    <t>1,6m2</t>
  </si>
  <si>
    <t>1,8m2</t>
  </si>
  <si>
    <t>2m2</t>
  </si>
  <si>
    <t>2,4m2</t>
  </si>
  <si>
    <t>2,8m2</t>
  </si>
  <si>
    <t>3,2m2</t>
  </si>
  <si>
    <t>3,6m2</t>
  </si>
  <si>
    <t>3,8m2</t>
  </si>
  <si>
    <t>4m2</t>
  </si>
  <si>
    <t>4,4m2</t>
  </si>
  <si>
    <t>4,8m2</t>
  </si>
  <si>
    <t>5m2</t>
  </si>
  <si>
    <t>5,4m2</t>
  </si>
  <si>
    <t>5,8m2</t>
  </si>
  <si>
    <t>2 x 1</t>
  </si>
  <si>
    <t>6m2</t>
  </si>
  <si>
    <t>6,4m2</t>
  </si>
  <si>
    <t>6,8m2</t>
  </si>
  <si>
    <t>7,2m2</t>
  </si>
  <si>
    <t>7,6m2</t>
  </si>
  <si>
    <t>3 x 1</t>
  </si>
  <si>
    <t>8m2</t>
  </si>
  <si>
    <t>Sivu a</t>
  </si>
  <si>
    <t>Sivu b mm</t>
  </si>
  <si>
    <t>1m2</t>
  </si>
  <si>
    <t>1,1m2</t>
  </si>
  <si>
    <t>1,3m2</t>
  </si>
  <si>
    <t>1,5m2</t>
  </si>
  <si>
    <t>1,7m2</t>
  </si>
  <si>
    <t>2,2m2</t>
  </si>
  <si>
    <t>1,9m2</t>
  </si>
  <si>
    <t>2,1m2</t>
  </si>
  <si>
    <t>2,6m2</t>
  </si>
  <si>
    <t>2,5m2</t>
  </si>
  <si>
    <t>3m2</t>
  </si>
  <si>
    <t>3,4m2</t>
  </si>
  <si>
    <t>5,2m2</t>
  </si>
  <si>
    <t>5,6m2</t>
  </si>
  <si>
    <t>6,2m2</t>
  </si>
  <si>
    <t>6,6m2</t>
  </si>
  <si>
    <t>7m2</t>
  </si>
  <si>
    <t>7,8m2</t>
  </si>
  <si>
    <t>8,6m2</t>
  </si>
  <si>
    <t>8,4m2</t>
  </si>
  <si>
    <t>9m2</t>
  </si>
  <si>
    <t>8,8m2</t>
  </si>
  <si>
    <t>9,4m2</t>
  </si>
  <si>
    <t xml:space="preserve">Sivun </t>
  </si>
  <si>
    <t>KANTIKAS ULKOSÄLEIKKÖ  *</t>
  </si>
  <si>
    <t>Perusnormitunnit</t>
  </si>
  <si>
    <t>Sivun</t>
  </si>
  <si>
    <t>Normituntien summa</t>
  </si>
  <si>
    <t>m2</t>
  </si>
  <si>
    <t>NH / a</t>
  </si>
  <si>
    <t>KPL / m</t>
  </si>
  <si>
    <t>NH /a</t>
  </si>
  <si>
    <t>Osien teko</t>
  </si>
  <si>
    <t>Kuittaus</t>
  </si>
  <si>
    <t>Työntekijä</t>
  </si>
  <si>
    <t xml:space="preserve"> ÄE-Kanavan muovitus</t>
  </si>
  <si>
    <t xml:space="preserve">  Piiri x m = m2</t>
  </si>
  <si>
    <t xml:space="preserve"> 0,3 x 0,2</t>
  </si>
  <si>
    <t xml:space="preserve"> 0,6 x 0,4</t>
  </si>
  <si>
    <t xml:space="preserve"> 1,2 x 0,8</t>
  </si>
  <si>
    <t>Etusivu</t>
  </si>
  <si>
    <t>Konehuonelisä, koskee kanavistoja</t>
  </si>
  <si>
    <t>Työskentelykorkeus lattasta tai maasta kanavaan yli</t>
  </si>
  <si>
    <t>+</t>
  </si>
  <si>
    <t xml:space="preserve">  RST - HST - tai pinnoitettu materiaali</t>
  </si>
  <si>
    <t xml:space="preserve">  Yli 1 mm pellistä tehty kanava</t>
  </si>
  <si>
    <t xml:space="preserve"> Mom. 1.</t>
  </si>
  <si>
    <t xml:space="preserve">  3.  Eristämätön kanava, Sovituspää, Kanavan katkaisu</t>
  </si>
  <si>
    <t xml:space="preserve">   7. Äänenvaimennin</t>
  </si>
  <si>
    <t xml:space="preserve">  Asennukset laboratoriossa ja erityistä puhtautta</t>
  </si>
  <si>
    <t xml:space="preserve">  vaativat työt, vaativampi kuin P1-luokka</t>
  </si>
  <si>
    <t xml:space="preserve">  1.  Eristämätön kanava, KY, MY, LKT, TY, SY pääte suuremman pään mukaan,</t>
  </si>
  <si>
    <t xml:space="preserve">       ilmasäätimet (IMS) ja palopellit</t>
  </si>
  <si>
    <t xml:space="preserve">  2.  Eristetty kanava KY, MY, LKT, TY, SY pääte suuremman pään mukaan</t>
  </si>
  <si>
    <t xml:space="preserve">  4.  Eristetty kanava, Sovituspää, Kanavan katkaisu, mitoitus ulkokuoren mukaan</t>
  </si>
  <si>
    <t>Päälleasennuksessa + 30% ei koske riviä 1</t>
  </si>
  <si>
    <t>Haitta%</t>
  </si>
  <si>
    <t xml:space="preserve">  </t>
  </si>
  <si>
    <t>PÄIVÄMÄÄRÄ</t>
  </si>
  <si>
    <t>YHT</t>
  </si>
  <si>
    <t>PALAUTUS</t>
  </si>
  <si>
    <t>JÄÄ</t>
  </si>
  <si>
    <t>D CM</t>
  </si>
  <si>
    <t>Mom. 1. Pyöreät kanavat ja osat 1 / Eristämätön kanava</t>
  </si>
  <si>
    <t>Mom.1. Pyöreät kanavat ja osat 2 / Eristetty kanava ÄE, LE, PE, - 50mm</t>
  </si>
  <si>
    <t>Mom.1. Pyöreät kanavat ja osat 6 / EYMA, Ulospuhallinhajoittaja</t>
  </si>
  <si>
    <t>Mom.1. Pyöreät kanavat ja osat 9 / Eristetty Haara, saapasosa</t>
  </si>
  <si>
    <t>Mom.1. Pyöreät kanavat ja osat 7 / Äänenvaimennin</t>
  </si>
  <si>
    <t>Mom.1. Pyöreät kanavat ja osat 8 / Eristetämätön Haara, saapasosa</t>
  </si>
  <si>
    <t>Mom.1. Pyöreät kanavat ja osat / Tarkastusluukku ( kantikas ja pyöreä)</t>
  </si>
  <si>
    <t>ERISTETTY</t>
  </si>
  <si>
    <t>ERISTÄMÄTÖN</t>
  </si>
  <si>
    <t>Liitetään urakkaan vain työkunnan niin halutessa</t>
  </si>
  <si>
    <t>Mom.1. Pyöreät kanavat ja osat / Kantikas ulkosäleikkö *</t>
  </si>
  <si>
    <t>Mom.1. Pyöreät kanavat ja osat  / Ulkosäleiköt *</t>
  </si>
  <si>
    <t xml:space="preserve">                 0 - 1</t>
  </si>
  <si>
    <t>Mom.2. Suorakaidekanavat / 2. eristetty kanava, KY, MY, LKT, TY, SY, pääte suuremman pään mukaan</t>
  </si>
  <si>
    <t>Mom.2. Suorakaidekanavat / 3. Eristämätön kanava, Sovituspää, Kanavan katkaisu</t>
  </si>
  <si>
    <t>Mom.2. Suorakaidekanavat / 4. Eristetty kanava, Sovituspää, Kanavan katkaisu, mitoitus ulkokuoren mukaan</t>
  </si>
  <si>
    <t>Koko mm</t>
  </si>
  <si>
    <t>Päivämäärä</t>
  </si>
  <si>
    <t>ILMANVAIHTOKONEET</t>
  </si>
  <si>
    <t>Mom.4. / 1. Tuloilmakoje (pelkkä tulo- tai poistokoje)</t>
  </si>
  <si>
    <t>Mom.4. / 2. Tulo- ja poistoilmakojepaketti</t>
  </si>
  <si>
    <t xml:space="preserve">  m3 / s</t>
  </si>
  <si>
    <t>Mom.4. / koneosien normituntitaulukko / jälkilämmityspatteri ja jäähdytyspatteri kanavassa kulkevan ilmamäärän mukaan taulukosta</t>
  </si>
  <si>
    <t>2. Patteri</t>
  </si>
  <si>
    <t>3. Äänenvaimennin</t>
  </si>
  <si>
    <t>4. Puhallin</t>
  </si>
  <si>
    <t>Mom.5. Pienkojeet</t>
  </si>
  <si>
    <t>Tasotuuletin, liesikupu, tuuletin</t>
  </si>
  <si>
    <t>MOM.6. AKSIAALIPUHALTIMET</t>
  </si>
  <si>
    <t>Mom.6. Aksiaalipuhaltimet / 1. Tärinän eristimet</t>
  </si>
  <si>
    <t>Mom.6. Aksiaalipuhaltimet / 2. Suojaverkko</t>
  </si>
  <si>
    <t>Mom.6. Aksiaalipuhaltimet / 3. Jalat</t>
  </si>
  <si>
    <t>Mom.6. Aksiaalipuhaltimet / 4. Kangasliitin</t>
  </si>
  <si>
    <t>Mom.6. Aksiaalipuhaltimet / 5. Johtosiivistö</t>
  </si>
  <si>
    <t>Mom.6. Aksiaalipuhaltimet / 6. Imukartio</t>
  </si>
  <si>
    <t>Mom.6. Aksiaalipuhaltimet / 7. Puhalluskartio</t>
  </si>
  <si>
    <t>Mom.6. Aksiaalipuhaltimet / 8. Ääniloukku, Suodatinosa</t>
  </si>
  <si>
    <t>Mom.6. Aksiaalipuhaltimet / 9. Moottoripelti</t>
  </si>
  <si>
    <t>Mom.6. Aksiaalipuhaltimet / 10. Puhallin</t>
  </si>
  <si>
    <t xml:space="preserve"> 1250 -</t>
  </si>
  <si>
    <t>Mom.6. Aksiaalipuhaltimet / Huippuimuri / Imuri</t>
  </si>
  <si>
    <t>Mom.6. Aksiaalipuhaltimet / Huippuimuri / LV - Piippu</t>
  </si>
  <si>
    <t>Haittalisä</t>
  </si>
  <si>
    <t>Nimike</t>
  </si>
  <si>
    <t>Määrä</t>
  </si>
  <si>
    <t>Normiaika</t>
  </si>
  <si>
    <t>NORMITUNTEINA SOVITUT TYÖT</t>
  </si>
  <si>
    <t>Yhteensä</t>
  </si>
  <si>
    <t>URAKKATUNNIT</t>
  </si>
  <si>
    <t>NHK1</t>
  </si>
  <si>
    <t>NHK2</t>
  </si>
  <si>
    <t>NHK3</t>
  </si>
  <si>
    <t>NHK 1</t>
  </si>
  <si>
    <t>NHK 2</t>
  </si>
  <si>
    <t>NHK 3</t>
  </si>
  <si>
    <t>asentajat</t>
  </si>
  <si>
    <t>ulosmaksu</t>
  </si>
  <si>
    <t>yht. tunnit</t>
  </si>
  <si>
    <t>yht. €</t>
  </si>
  <si>
    <t>yht</t>
  </si>
  <si>
    <t xml:space="preserve">URAKKASUMMA </t>
  </si>
  <si>
    <t>€</t>
  </si>
  <si>
    <t>h</t>
  </si>
  <si>
    <t>URAKKA KTA .</t>
  </si>
  <si>
    <t>NHK- MUUTTUU KESKEN URAKAN</t>
  </si>
  <si>
    <t>H</t>
  </si>
  <si>
    <t>x</t>
  </si>
  <si>
    <t>=</t>
  </si>
  <si>
    <t>%</t>
  </si>
  <si>
    <t>NH    X</t>
  </si>
  <si>
    <t>€  =</t>
  </si>
  <si>
    <t>URAKKASUMMA</t>
  </si>
  <si>
    <t>URAKAN KESKITUNTIANSIO</t>
  </si>
  <si>
    <t>€/h</t>
  </si>
  <si>
    <t>Normitunteina sovitut</t>
  </si>
  <si>
    <t>Vaativuus ja olosuhdelisät</t>
  </si>
  <si>
    <t>800-1000</t>
  </si>
  <si>
    <t>VÄLIPOHJAT</t>
  </si>
  <si>
    <t>päivämäärä</t>
  </si>
  <si>
    <t>yht.</t>
  </si>
  <si>
    <t>välipohjat yht</t>
  </si>
  <si>
    <t>Urakkasumma</t>
  </si>
  <si>
    <t>Tes:n takuupalkka</t>
  </si>
  <si>
    <t>€ x</t>
  </si>
  <si>
    <t>h    =</t>
  </si>
  <si>
    <t>Erotus</t>
  </si>
  <si>
    <t xml:space="preserve">      =</t>
  </si>
  <si>
    <t xml:space="preserve">Urakkasumman ja </t>
  </si>
  <si>
    <t>takuupalkan erotus x 5,3% = Etumieslisä</t>
  </si>
  <si>
    <t>€ =</t>
  </si>
  <si>
    <t xml:space="preserve">Miinus: ennakko x etumiestunnit </t>
  </si>
  <si>
    <t>Etumieslisää maksetaan</t>
  </si>
  <si>
    <t>etumieslisä tunnilta</t>
  </si>
  <si>
    <t>€/</t>
  </si>
  <si>
    <t>1 Etumies</t>
  </si>
  <si>
    <t>h x</t>
  </si>
  <si>
    <t>maksetaan</t>
  </si>
  <si>
    <t>2 Etumies</t>
  </si>
  <si>
    <t>Etumieslisän laskenta</t>
  </si>
  <si>
    <t>JAKOLISTA</t>
  </si>
  <si>
    <t xml:space="preserve">                  TYÖMAA                    </t>
  </si>
  <si>
    <t xml:space="preserve">      URAKKASUMMA </t>
  </si>
  <si>
    <t>urakan ja-</t>
  </si>
  <si>
    <t>MAKSETTU</t>
  </si>
  <si>
    <t>MAKSETUT</t>
  </si>
  <si>
    <t>URAKKA</t>
  </si>
  <si>
    <t xml:space="preserve"> NIMI</t>
  </si>
  <si>
    <t>TUNNIT</t>
  </si>
  <si>
    <t>ko osuus</t>
  </si>
  <si>
    <t xml:space="preserve">PALKKA </t>
  </si>
  <si>
    <t>OSUUS</t>
  </si>
  <si>
    <t>PALKAT YHT</t>
  </si>
  <si>
    <t>MAKSETAAN</t>
  </si>
  <si>
    <t>MAKSETTU PALKKA = ULOSMAKSU X URAKKATUNNIT</t>
  </si>
  <si>
    <t>URAKKA OSUUS = URAKAN JAKO-OSUUS X URAKKASUMMA :URAKAN JOKO-OSUUKSIEN SUMMA</t>
  </si>
  <si>
    <t>MAKSETUT PALKAT YHT. = MAKSETTU PALKKA + VÄLIPOHJAT</t>
  </si>
  <si>
    <t>MAKSETAAN = URAKKA OSUUS - MAKSETUT PALKAT YHT.</t>
  </si>
  <si>
    <t>Urakkapöytäkirja</t>
  </si>
  <si>
    <t>Pyöreät kanavat ja osat</t>
  </si>
  <si>
    <t>Suorakaidekanavat</t>
  </si>
  <si>
    <t>Venttiilit</t>
  </si>
  <si>
    <t>VALMIIN KANAVAN JA OSIEN ASENNUS</t>
  </si>
  <si>
    <t>Tarkastusluukku, ulkosäleiköt</t>
  </si>
  <si>
    <t>Pienkojeet</t>
  </si>
  <si>
    <t>Aksiaalipuhaltimet</t>
  </si>
  <si>
    <t>Huippuimuri, LV-Piippu</t>
  </si>
  <si>
    <t>Vaativuus, olosuhdelisät</t>
  </si>
  <si>
    <t>Urakkatunnit</t>
  </si>
  <si>
    <t>Välipohjat</t>
  </si>
  <si>
    <t>Etumieslisä</t>
  </si>
  <si>
    <t>NHK-muuttuu kesken urakan</t>
  </si>
  <si>
    <t xml:space="preserve">Ilmanvaihtokoneet, koneosat </t>
  </si>
  <si>
    <t>Jakolista</t>
  </si>
  <si>
    <t>Haitta %</t>
  </si>
  <si>
    <t>Etumies</t>
  </si>
  <si>
    <t>500-</t>
  </si>
  <si>
    <t>piiri x m = m2</t>
  </si>
  <si>
    <t>Vaativuus ja olosuhdelisät:</t>
  </si>
  <si>
    <t>m/kpl</t>
  </si>
  <si>
    <t xml:space="preserve">SIVU A + SIVU B x 2 x 1m = m2   </t>
  </si>
  <si>
    <t xml:space="preserve">Mom.3. Venttiilit / 1. Tulo ja poistosäleiköt Esim: TRYa, Colibri, SVQ </t>
  </si>
  <si>
    <t>Mom.3. Venttiilit / 2. piennopeusjakolaite Esim: FMH</t>
  </si>
  <si>
    <t>Mom.3. / Venttiilit / 5. Tulo ja poistoventtiilit Esim. URH, EXCa, ULA, KSO, KTS, KVBa, SET, RCL</t>
  </si>
  <si>
    <t>Mom.3. / Venttiilit / 6. Paineenalennus ja tasauslaatikot THA, B, C, K, L, TRC, PRG, PRH, PCA.</t>
  </si>
  <si>
    <t>Jos pyörivä LTO-yksikkö tulee osina työmaalle, kokoaminen</t>
  </si>
  <si>
    <t>hinnoittelematonta työtä.</t>
  </si>
  <si>
    <t>40-99</t>
  </si>
  <si>
    <t>100-210</t>
  </si>
  <si>
    <t>Mom.5. Pienkojeet / Ilmanvaihtolaitteet omakotitaloihin, toimitiloihin yms.</t>
  </si>
  <si>
    <t>100-160</t>
  </si>
  <si>
    <t>200-315</t>
  </si>
  <si>
    <t>Sälepelti,väliosa, kostutin</t>
  </si>
  <si>
    <t>Kohde poistopuhallin kone</t>
  </si>
  <si>
    <t>Kohde poistopuheltimen "kärsä"</t>
  </si>
  <si>
    <t>Talotekniikkapalkit</t>
  </si>
  <si>
    <t>Talotekniikkapalkin pituus = palkin pituus + suojapellin pituus</t>
  </si>
  <si>
    <t>Pituus mm</t>
  </si>
  <si>
    <t>Mom.5. Pienkojeet / Talotekniikkapalkit</t>
  </si>
  <si>
    <t>Elpotek kytkentä</t>
  </si>
  <si>
    <t>Mom.1. Pyöreät kanavat ja osat  / Elpotek kytkentä</t>
  </si>
  <si>
    <t>PVM</t>
  </si>
  <si>
    <t xml:space="preserve">URAKAN JAKO-OSUUS = PERUSPALKKA X URAKKATUNNIT </t>
  </si>
  <si>
    <t>Ohjelma perustuu:</t>
  </si>
  <si>
    <t>Lvi-toimialan työehtosopimukseen</t>
  </si>
  <si>
    <t>Vapaan työskentelytilan korkeus</t>
  </si>
  <si>
    <t>1. Sälepelti, väliosa, kostutin</t>
  </si>
  <si>
    <t>Mom.1. Pyöreät kanavat ja osat 3 / Eristetty kanava ÄE, LE, PE 50 - mm</t>
  </si>
  <si>
    <t>Mom.3. Venttiilit / 3. Palopelti E-luokka(tavallinen),  pyöreät ilmamääräsäätimet</t>
  </si>
  <si>
    <t>Mom.3. / Venttiilit / 4. Palopelt, EI-luokka (keraaminen)</t>
  </si>
  <si>
    <t xml:space="preserve">  3.  Palopelti E-luokka(tavallinen), ja pyöreät ilmamääräsäätimet</t>
  </si>
  <si>
    <t xml:space="preserve">  4.  Palopelti EI-luokka(keraaminen)</t>
  </si>
  <si>
    <t xml:space="preserve">    ULKOSÄLEIKÖT  *</t>
  </si>
  <si>
    <t xml:space="preserve">  1.  Tulo ja poistosäleiköt Esim. TRYa, colibri, SVQ</t>
  </si>
  <si>
    <t xml:space="preserve">  2.  Piennopeusjakolaite Esim. FMH</t>
  </si>
  <si>
    <t xml:space="preserve">  5.  Tulo ja poistoventtiilit Esim. URH, EXCa, ULA, KSO, KTS, KVBa, SET, RCL</t>
  </si>
  <si>
    <t xml:space="preserve">  6.  Paineenalennus ja tasauslaatiko tEsim. TRI, DTTZ, ATTB, ALSa, VDYc</t>
  </si>
  <si>
    <t>0 - 0,99</t>
  </si>
  <si>
    <t>1,00 - 1,99</t>
  </si>
  <si>
    <t>2,00 - 3,49</t>
  </si>
  <si>
    <t>3,50 - 4,99</t>
  </si>
  <si>
    <t xml:space="preserve">5,00 - 6,99 </t>
  </si>
  <si>
    <t>Niko Räsänen</t>
  </si>
  <si>
    <t>Lisätiedot Rakennusliitto</t>
  </si>
  <si>
    <t>0405087731/ niko.rasanen@rakennusliitto.fi</t>
  </si>
  <si>
    <t>Perus-tuntipalkka</t>
  </si>
  <si>
    <t xml:space="preserve">   6. Ulospuhallinhajoittaja, Esim Eyma</t>
  </si>
  <si>
    <t xml:space="preserve">   2. Eristetty kanava ÄE, LE, PE - 50 mm</t>
  </si>
  <si>
    <t xml:space="preserve">   3. Eristetty kanava  ÄE, LE, PE 50 - mm</t>
  </si>
  <si>
    <t xml:space="preserve">        ulkoliitin kanavasta alle 1m, SP; YHDEPL </t>
  </si>
  <si>
    <t xml:space="preserve">   9. Eristetty haara, saapasoasa</t>
  </si>
  <si>
    <t xml:space="preserve">    10. Suutinkanava</t>
  </si>
  <si>
    <t>Halkai-sija</t>
  </si>
  <si>
    <t>Mom.1. Pyöreät kanavat ja osat 10 /Suutinkanavat</t>
  </si>
  <si>
    <t xml:space="preserve">  7.  Tulo- ja poistoilmavirtasäädin, esim. Halton HHW</t>
  </si>
  <si>
    <t>Mom.3. / Venttiilit / 7. Tulo- ja poistoilmavirtasäädin, esim. Halton HHW</t>
  </si>
  <si>
    <t>TULO- TAI POISTOILMAKOJE, SISÄLTÄÄ 3 OSAA</t>
  </si>
  <si>
    <t>TULO- JA POISTOILMAKOJEPAKETTI, SISÄLTÄÄ 6 OSAA</t>
  </si>
  <si>
    <t>Pientalo LTO kone seinämalli, alle 40 kg</t>
  </si>
  <si>
    <t>ILMANVAIHTOLAITTEET OMAKOTITALOIHIN,</t>
  </si>
  <si>
    <r>
      <rPr>
        <b/>
        <sz val="10"/>
        <rFont val="Arial"/>
        <family val="2"/>
      </rPr>
      <t>TOIMITILOIHIN YMS</t>
    </r>
    <r>
      <rPr>
        <sz val="10"/>
        <rFont val="Arial"/>
      </rPr>
      <t>.</t>
    </r>
  </si>
  <si>
    <t>Imuri NH</t>
  </si>
  <si>
    <t>LV-piippu NH</t>
  </si>
  <si>
    <t>Urakanjako-osuus</t>
  </si>
  <si>
    <t xml:space="preserve">Palkkaryhmä S </t>
  </si>
  <si>
    <t>Takuupalkka palkkaryhmä 3 x Urakkatunnit</t>
  </si>
  <si>
    <t>Takuupalkka palkkaryhmä S x Urakkatunnit</t>
  </si>
  <si>
    <t>Takuupalkka palkkaryhmä 1 x Urakkatunnit</t>
  </si>
  <si>
    <t>PALKKARYHMÄ 1 KUULUVAT KIRJATAAN SINISEEN OSIOON</t>
  </si>
  <si>
    <t>PALKKARYHMÄ S KUULUVAT KIRJATAAN KELTAISEEN OSIOON</t>
  </si>
  <si>
    <t>PALKKARYMÄSSÄ 1 OLEVIEN PERUSTUNTIPALKAKSI KIRJATAAN 50% PALKKARYHMÄ 3 PALKASTA</t>
  </si>
  <si>
    <t xml:space="preserve">Pientalo LTO kone seinämalli -40kg                                 </t>
  </si>
  <si>
    <t>Tuulikaappikoje</t>
  </si>
  <si>
    <t xml:space="preserve">VSS iv-koje. </t>
  </si>
  <si>
    <t>Kanavapuhallin 100 - 160</t>
  </si>
  <si>
    <t>Kanavapuhallin 200 - 315</t>
  </si>
  <si>
    <t>Normitunti kertoimet</t>
  </si>
  <si>
    <t>urakka     tunnit</t>
  </si>
  <si>
    <t>urakka   tunnit</t>
  </si>
  <si>
    <t xml:space="preserve">PALKKARYHMÄ S KUULUVAT </t>
  </si>
  <si>
    <t xml:space="preserve">Kuilulisä </t>
  </si>
  <si>
    <t>5,0m</t>
  </si>
  <si>
    <t xml:space="preserve">8,0m </t>
  </si>
  <si>
    <t>1,8m</t>
  </si>
  <si>
    <t>0,90m</t>
  </si>
  <si>
    <t>Saneerauslisä %</t>
  </si>
  <si>
    <t>Passiivipaneelit</t>
  </si>
  <si>
    <t>Muut rakennukset</t>
  </si>
  <si>
    <t>Majoitus- ja hotellirakennukset</t>
  </si>
  <si>
    <t xml:space="preserve">    5.  Eristetty KY, TY, MY, LKP, TP, EP, </t>
  </si>
  <si>
    <t>Mom.5. Pienkojeet / Passiivipaneelit, majoitus- ja hotellirakennukset</t>
  </si>
  <si>
    <t>Mom.5. Pienkojeet / Passiivipaneelit, muut rakennukset</t>
  </si>
  <si>
    <t xml:space="preserve">Jäähdytys, talotekniikkapalkkien ja passiivipaneelien asennuksen normiaikoja korotetaan </t>
  </si>
  <si>
    <t>15% mikäli käytössä ei ole kanavanostinta tai muuta vastaavaa apulaitetta</t>
  </si>
  <si>
    <t xml:space="preserve">   4. Eristämätön MY, KY, TY, LKP, TULPPA, EP,</t>
  </si>
  <si>
    <t xml:space="preserve">KIERTOILMAKOJEET, JÄÄHDYTYSPALKIT </t>
  </si>
  <si>
    <t xml:space="preserve">Olosuhdelisät </t>
  </si>
  <si>
    <t>Kiertoilmakojeet, palkit ja paneelit</t>
  </si>
  <si>
    <t>Kiertoilmakojeet ja jäähdytyspalkit</t>
  </si>
  <si>
    <t>Talotekniikkapalkki sisältää jäähdytys/lämmitysjärjestelmän lisäksi muutakin tekniikka, kuten sähkötekniikka.</t>
  </si>
  <si>
    <t>Mom.5. Pienkojeet / Kiertoilmakojeet ja jäähdytyspalkit</t>
  </si>
  <si>
    <t>1. Yhteen virtauspiiriin kytkettävät</t>
  </si>
  <si>
    <t>2. Useampaan kuin yhteen virtauspiiriin kytkettävät</t>
  </si>
  <si>
    <t>Koko   kg</t>
  </si>
  <si>
    <t>-56</t>
  </si>
  <si>
    <t>Koko kg</t>
  </si>
  <si>
    <t>Vaativuuslisät</t>
  </si>
  <si>
    <t>Savunpoistokanavat</t>
  </si>
  <si>
    <t>Suorakaidekanava</t>
  </si>
  <si>
    <t>Pyöreäkanava</t>
  </si>
  <si>
    <t>Mom.1. Pyöreät kanavat ja osat 4 / Eristämätön, MY, KY, TY, LKP, TULPPA, ulkoliitin kanavasta itsetehty &lt;1M, SP, YHDEPL,</t>
  </si>
  <si>
    <t xml:space="preserve"> lämpölaajenemiskompensaattori, tarkastusluukku valmiiseen osaan</t>
  </si>
  <si>
    <t>Mom.2. Suorakaidekanavat / 1. Eristämätön kanava, KY, MY, LKT, TY, SY, pääte suuremman pään mukaan, (IMS) ja palopellit, lämpölaajenemiskompensaattori</t>
  </si>
  <si>
    <t>1,96 - 2,55</t>
  </si>
  <si>
    <t>0,10 - 0,15</t>
  </si>
  <si>
    <t xml:space="preserve">     1,96 - 2,55</t>
  </si>
  <si>
    <t>Mom.1. Pyöreät kanavat ja osat / Palo-osastoinnista johtuva lisäkannakointi</t>
  </si>
  <si>
    <t>PALO-OSASTOINNISTA JOHTUVA LISÄKANNAKOINTI</t>
  </si>
  <si>
    <t xml:space="preserve">Mom. 7  OSIEN TEKO </t>
  </si>
  <si>
    <t xml:space="preserve"> Vaativuus- ja olosuhdelisät </t>
  </si>
  <si>
    <t xml:space="preserve">Mom. 6 AKSIAALIPUHALTIMET </t>
  </si>
  <si>
    <t xml:space="preserve">Mom. 5 PIENKOJEET </t>
  </si>
  <si>
    <t xml:space="preserve">Mom.  4. ILMANVAIHTOKONEET </t>
  </si>
  <si>
    <t xml:space="preserve"> Mom 3 VENTTIILIT </t>
  </si>
  <si>
    <t xml:space="preserve">Mom. 2 Suorakaidekanavataulukko </t>
  </si>
  <si>
    <t xml:space="preserve">  Mom. 2   SUORAKAIDEKANAVAT </t>
  </si>
  <si>
    <t xml:space="preserve">PYÖREÄT KANAVAT JA OSAT </t>
  </si>
  <si>
    <t>NH/Kpl</t>
  </si>
  <si>
    <t>Mom.2. Suorakaidekanavat / Palo-osastoinnista johtuva lisäkannakointi</t>
  </si>
  <si>
    <t>TALOTEKNIIKKAPALKIT, PASSIIVIPANEELIT</t>
  </si>
  <si>
    <t xml:space="preserve">        JATKO</t>
  </si>
  <si>
    <t>Mom.1. Pyöreät kanavat ja osat 5 / Eristetty KY, TY, MY, LKP, LKT, TP, EP, JATKO</t>
  </si>
  <si>
    <t xml:space="preserve">Vuosien 2023 - 2025 Talotekniikka-alan </t>
  </si>
  <si>
    <r>
      <t xml:space="preserve">PALKKARYHMÄ 1 KUULUVAT SINISESSÄ OSIOSSA                                                                                        </t>
    </r>
    <r>
      <rPr>
        <sz val="10"/>
        <rFont val="Arial"/>
        <family val="2"/>
      </rPr>
      <t>Palkkaryhmä 1 perustuntipalkaksi kirjataan 50% palkkaryhmä 3:sta joka on 1.5.2023 / 9,06 € sekä 15.5.2024 / 9,24 €</t>
    </r>
  </si>
  <si>
    <t>Päivitetty 28.5.2024</t>
  </si>
  <si>
    <t>Palautus</t>
  </si>
  <si>
    <t>Jää</t>
  </si>
  <si>
    <t>Yht</t>
  </si>
  <si>
    <t xml:space="preserve">     0,10 - 0,15</t>
  </si>
  <si>
    <t xml:space="preserve">     0,16 - 0,19</t>
  </si>
  <si>
    <t xml:space="preserve">     0,20 - 0,35</t>
  </si>
  <si>
    <t xml:space="preserve">     0,36 - 0,63</t>
  </si>
  <si>
    <t xml:space="preserve">     0,64 - 0,99</t>
  </si>
  <si>
    <t xml:space="preserve">     1,00 - 1,43</t>
  </si>
  <si>
    <t xml:space="preserve">     1,44 - 1,95</t>
  </si>
  <si>
    <t xml:space="preserve">     2,56 - 3,23</t>
  </si>
  <si>
    <t>5,00 - 6,99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</si>
</sst>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€_-;\-* #,##0.00\ _€_-;_-* &quot;-&quot;??\ _€_-;_-@_-"/>
    <numFmt numFmtId="165" formatCode="#,##0.00\ &quot;mk&quot;;[Red]\-#,##0.00\ &quot;mk&quot;"/>
    <numFmt numFmtId="166" formatCode="_-* #,##0\ _m_k_-;\-* #,##0\ _m_k_-;_-* &quot;-&quot;\ _m_k_-;_-@_-"/>
    <numFmt numFmtId="167" formatCode="0.00;[Red]0.00"/>
    <numFmt numFmtId="168" formatCode="0.0;[Red]0.0"/>
    <numFmt numFmtId="169" formatCode="0;[Red]0"/>
    <numFmt numFmtId="170" formatCode="0.000"/>
    <numFmt numFmtId="171" formatCode="0.000;[Red]0.000"/>
    <numFmt numFmtId="172" formatCode="d\.m\."/>
    <numFmt numFmtId="173" formatCode="0.0"/>
    <numFmt numFmtId="174" formatCode="0.0\ %"/>
  </numFmts>
  <fonts count="4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26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8.8000000000000007"/>
      <color indexed="12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b/>
      <sz val="26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u/>
      <sz val="8"/>
      <color indexed="12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8.8000000000000007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u/>
      <sz val="8.8000000000000007"/>
      <color indexed="12"/>
      <name val="Arial"/>
      <family val="2"/>
    </font>
    <font>
      <u/>
      <sz val="10"/>
      <color indexed="12"/>
      <name val="Arial"/>
      <family val="2"/>
    </font>
    <font>
      <sz val="22"/>
      <name val="Franklin Gothic Medium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u/>
      <sz val="8.8000000000000007"/>
      <color rgb="FF0000FF"/>
      <name val="Arial"/>
      <family val="2"/>
    </font>
    <font>
      <b/>
      <u/>
      <sz val="9"/>
      <color rgb="FF0033CC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9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7" fontId="3" fillId="2" borderId="0" xfId="0" applyNumberFormat="1" applyFont="1" applyFill="1" applyAlignment="1">
      <alignment horizontal="center"/>
    </xf>
    <xf numFmtId="0" fontId="0" fillId="2" borderId="4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3" fillId="2" borderId="7" xfId="0" applyFon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7" fillId="2" borderId="0" xfId="0" applyFont="1" applyFill="1"/>
    <xf numFmtId="14" fontId="0" fillId="2" borderId="0" xfId="0" applyNumberFormat="1" applyFill="1"/>
    <xf numFmtId="0" fontId="0" fillId="2" borderId="2" xfId="0" applyFill="1" applyBorder="1"/>
    <xf numFmtId="0" fontId="0" fillId="2" borderId="17" xfId="0" applyFill="1" applyBorder="1"/>
    <xf numFmtId="167" fontId="0" fillId="2" borderId="6" xfId="0" applyNumberForma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167" fontId="0" fillId="2" borderId="1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3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0" xfId="0" applyFill="1"/>
    <xf numFmtId="167" fontId="0" fillId="3" borderId="0" xfId="0" applyNumberFormat="1" applyFill="1" applyAlignment="1">
      <alignment horizontal="center"/>
    </xf>
    <xf numFmtId="167" fontId="0" fillId="3" borderId="7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9" fillId="2" borderId="0" xfId="0" applyFont="1" applyFill="1"/>
    <xf numFmtId="0" fontId="2" fillId="2" borderId="0" xfId="0" applyFont="1" applyFill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left"/>
    </xf>
    <xf numFmtId="0" fontId="0" fillId="2" borderId="20" xfId="0" applyFill="1" applyBorder="1" applyAlignment="1">
      <alignment horizontal="center"/>
    </xf>
    <xf numFmtId="0" fontId="0" fillId="0" borderId="4" xfId="0" applyBorder="1"/>
    <xf numFmtId="0" fontId="0" fillId="2" borderId="8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21" xfId="0" applyFill="1" applyBorder="1"/>
    <xf numFmtId="0" fontId="0" fillId="2" borderId="21" xfId="0" applyFill="1" applyBorder="1" applyAlignment="1">
      <alignment horizontal="center"/>
    </xf>
    <xf numFmtId="169" fontId="0" fillId="2" borderId="7" xfId="0" applyNumberFormat="1" applyFill="1" applyBorder="1" applyAlignment="1">
      <alignment horizontal="center"/>
    </xf>
    <xf numFmtId="167" fontId="0" fillId="2" borderId="21" xfId="0" applyNumberFormat="1" applyFill="1" applyBorder="1" applyAlignment="1">
      <alignment horizontal="center"/>
    </xf>
    <xf numFmtId="0" fontId="0" fillId="3" borderId="1" xfId="0" applyFill="1" applyBorder="1"/>
    <xf numFmtId="167" fontId="0" fillId="3" borderId="1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9" fontId="0" fillId="2" borderId="0" xfId="0" applyNumberFormat="1" applyFill="1" applyAlignment="1">
      <alignment horizontal="center"/>
    </xf>
    <xf numFmtId="166" fontId="0" fillId="2" borderId="0" xfId="4" applyFont="1" applyFill="1" applyBorder="1" applyAlignment="1">
      <alignment horizontal="right"/>
    </xf>
    <xf numFmtId="9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2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7" fontId="12" fillId="2" borderId="0" xfId="0" applyNumberFormat="1" applyFont="1" applyFill="1" applyAlignment="1">
      <alignment horizontal="center"/>
    </xf>
    <xf numFmtId="0" fontId="4" fillId="2" borderId="0" xfId="0" applyFont="1" applyFill="1"/>
    <xf numFmtId="0" fontId="3" fillId="2" borderId="7" xfId="0" applyFont="1" applyFill="1" applyBorder="1"/>
    <xf numFmtId="0" fontId="4" fillId="2" borderId="7" xfId="0" applyFont="1" applyFill="1" applyBorder="1" applyAlignment="1">
      <alignment horizontal="center"/>
    </xf>
    <xf numFmtId="2" fontId="0" fillId="2" borderId="0" xfId="0" applyNumberFormat="1" applyFill="1"/>
    <xf numFmtId="2" fontId="0" fillId="0" borderId="4" xfId="0" applyNumberFormat="1" applyBorder="1"/>
    <xf numFmtId="2" fontId="9" fillId="2" borderId="0" xfId="0" applyNumberFormat="1" applyFont="1" applyFill="1" applyAlignment="1">
      <alignment horizontal="center"/>
    </xf>
    <xf numFmtId="167" fontId="13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71" fontId="7" fillId="2" borderId="0" xfId="0" applyNumberFormat="1" applyFont="1" applyFill="1" applyAlignment="1">
      <alignment horizontal="center"/>
    </xf>
    <xf numFmtId="167" fontId="7" fillId="2" borderId="0" xfId="0" applyNumberFormat="1" applyFont="1" applyFill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2" fontId="3" fillId="9" borderId="6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6" xfId="0" applyBorder="1"/>
    <xf numFmtId="172" fontId="0" fillId="4" borderId="6" xfId="0" applyNumberFormat="1" applyFill="1" applyBorder="1" applyProtection="1">
      <protection locked="0"/>
    </xf>
    <xf numFmtId="0" fontId="2" fillId="0" borderId="6" xfId="0" applyFont="1" applyBorder="1"/>
    <xf numFmtId="0" fontId="0" fillId="0" borderId="6" xfId="0" applyBorder="1" applyAlignment="1">
      <alignment horizontal="center"/>
    </xf>
    <xf numFmtId="1" fontId="0" fillId="9" borderId="6" xfId="0" applyNumberFormat="1" applyFill="1" applyBorder="1" applyProtection="1">
      <protection locked="0"/>
    </xf>
    <xf numFmtId="172" fontId="0" fillId="9" borderId="6" xfId="0" applyNumberFormat="1" applyFill="1" applyBorder="1" applyProtection="1">
      <protection locked="0"/>
    </xf>
    <xf numFmtId="0" fontId="5" fillId="0" borderId="6" xfId="0" applyFont="1" applyBorder="1"/>
    <xf numFmtId="1" fontId="5" fillId="9" borderId="6" xfId="0" applyNumberFormat="1" applyFont="1" applyFill="1" applyBorder="1" applyProtection="1">
      <protection locked="0"/>
    </xf>
    <xf numFmtId="0" fontId="4" fillId="0" borderId="6" xfId="0" applyFont="1" applyBorder="1"/>
    <xf numFmtId="2" fontId="4" fillId="0" borderId="6" xfId="0" applyNumberFormat="1" applyFont="1" applyBorder="1"/>
    <xf numFmtId="0" fontId="0" fillId="9" borderId="0" xfId="0" applyFill="1"/>
    <xf numFmtId="0" fontId="0" fillId="9" borderId="15" xfId="0" applyFill="1" applyBorder="1"/>
    <xf numFmtId="0" fontId="0" fillId="9" borderId="16" xfId="0" applyFill="1" applyBorder="1"/>
    <xf numFmtId="0" fontId="0" fillId="9" borderId="22" xfId="0" applyFill="1" applyBorder="1"/>
    <xf numFmtId="172" fontId="0" fillId="9" borderId="20" xfId="0" applyNumberFormat="1" applyFill="1" applyBorder="1" applyProtection="1">
      <protection locked="0"/>
    </xf>
    <xf numFmtId="1" fontId="0" fillId="9" borderId="11" xfId="0" applyNumberFormat="1" applyFill="1" applyBorder="1" applyProtection="1">
      <protection locked="0"/>
    </xf>
    <xf numFmtId="1" fontId="0" fillId="9" borderId="4" xfId="0" applyNumberFormat="1" applyFill="1" applyBorder="1" applyProtection="1">
      <protection locked="0"/>
    </xf>
    <xf numFmtId="2" fontId="4" fillId="0" borderId="20" xfId="0" applyNumberFormat="1" applyFont="1" applyBorder="1"/>
    <xf numFmtId="0" fontId="3" fillId="0" borderId="6" xfId="0" applyFont="1" applyBorder="1"/>
    <xf numFmtId="172" fontId="3" fillId="4" borderId="6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173" fontId="3" fillId="0" borderId="6" xfId="0" applyNumberFormat="1" applyFont="1" applyBorder="1"/>
    <xf numFmtId="1" fontId="0" fillId="0" borderId="6" xfId="0" applyNumberFormat="1" applyBorder="1" applyAlignment="1">
      <alignment horizontal="center"/>
    </xf>
    <xf numFmtId="0" fontId="9" fillId="2" borderId="0" xfId="0" applyFont="1" applyFill="1" applyAlignment="1">
      <alignment horizontal="center"/>
    </xf>
    <xf numFmtId="1" fontId="3" fillId="9" borderId="0" xfId="0" applyNumberFormat="1" applyFont="1" applyFill="1" applyProtection="1">
      <protection locked="0"/>
    </xf>
    <xf numFmtId="172" fontId="3" fillId="9" borderId="1" xfId="0" applyNumberFormat="1" applyFont="1" applyFill="1" applyBorder="1" applyProtection="1">
      <protection locked="0"/>
    </xf>
    <xf numFmtId="1" fontId="3" fillId="9" borderId="19" xfId="0" applyNumberFormat="1" applyFont="1" applyFill="1" applyBorder="1" applyProtection="1">
      <protection locked="0"/>
    </xf>
    <xf numFmtId="1" fontId="3" fillId="9" borderId="7" xfId="0" applyNumberFormat="1" applyFont="1" applyFill="1" applyBorder="1" applyProtection="1">
      <protection locked="0"/>
    </xf>
    <xf numFmtId="1" fontId="3" fillId="9" borderId="8" xfId="0" applyNumberFormat="1" applyFont="1" applyFill="1" applyBorder="1" applyProtection="1">
      <protection locked="0"/>
    </xf>
    <xf numFmtId="1" fontId="3" fillId="9" borderId="17" xfId="0" applyNumberFormat="1" applyFont="1" applyFill="1" applyBorder="1" applyProtection="1">
      <protection locked="0"/>
    </xf>
    <xf numFmtId="1" fontId="3" fillId="9" borderId="4" xfId="0" applyNumberFormat="1" applyFont="1" applyFill="1" applyBorder="1" applyProtection="1">
      <protection locked="0"/>
    </xf>
    <xf numFmtId="172" fontId="3" fillId="9" borderId="4" xfId="0" applyNumberFormat="1" applyFont="1" applyFill="1" applyBorder="1" applyProtection="1">
      <protection locked="0"/>
    </xf>
    <xf numFmtId="173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center"/>
    </xf>
    <xf numFmtId="1" fontId="3" fillId="9" borderId="0" xfId="0" applyNumberFormat="1" applyFont="1" applyFill="1" applyAlignment="1" applyProtection="1">
      <alignment horizontal="center"/>
      <protection locked="0"/>
    </xf>
    <xf numFmtId="0" fontId="13" fillId="9" borderId="22" xfId="0" applyFont="1" applyFill="1" applyBorder="1"/>
    <xf numFmtId="0" fontId="3" fillId="9" borderId="22" xfId="0" applyFont="1" applyFill="1" applyBorder="1"/>
    <xf numFmtId="0" fontId="3" fillId="9" borderId="0" xfId="0" applyFont="1" applyFill="1"/>
    <xf numFmtId="0" fontId="7" fillId="9" borderId="0" xfId="0" applyFont="1" applyFill="1"/>
    <xf numFmtId="16" fontId="5" fillId="9" borderId="22" xfId="0" applyNumberFormat="1" applyFont="1" applyFill="1" applyBorder="1"/>
    <xf numFmtId="0" fontId="16" fillId="9" borderId="22" xfId="0" applyFont="1" applyFill="1" applyBorder="1"/>
    <xf numFmtId="0" fontId="5" fillId="9" borderId="22" xfId="0" applyFont="1" applyFill="1" applyBorder="1"/>
    <xf numFmtId="14" fontId="0" fillId="9" borderId="0" xfId="0" applyNumberFormat="1" applyFill="1"/>
    <xf numFmtId="0" fontId="3" fillId="9" borderId="0" xfId="0" applyFont="1" applyFill="1" applyAlignment="1">
      <alignment horizontal="right"/>
    </xf>
    <xf numFmtId="14" fontId="0" fillId="9" borderId="22" xfId="0" applyNumberFormat="1" applyFill="1" applyBorder="1"/>
    <xf numFmtId="0" fontId="7" fillId="9" borderId="22" xfId="0" applyFont="1" applyFill="1" applyBorder="1"/>
    <xf numFmtId="0" fontId="3" fillId="9" borderId="22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/>
    </xf>
    <xf numFmtId="0" fontId="4" fillId="9" borderId="0" xfId="0" applyFont="1" applyFill="1"/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5" fillId="9" borderId="0" xfId="0" applyFont="1" applyFill="1"/>
    <xf numFmtId="49" fontId="9" fillId="2" borderId="0" xfId="0" applyNumberFormat="1" applyFont="1" applyFill="1" applyAlignment="1">
      <alignment horizontal="center"/>
    </xf>
    <xf numFmtId="1" fontId="9" fillId="2" borderId="0" xfId="0" applyNumberFormat="1" applyFont="1" applyFill="1"/>
    <xf numFmtId="49" fontId="9" fillId="2" borderId="0" xfId="0" applyNumberFormat="1" applyFont="1" applyFill="1"/>
    <xf numFmtId="173" fontId="9" fillId="2" borderId="0" xfId="0" applyNumberFormat="1" applyFont="1" applyFill="1"/>
    <xf numFmtId="173" fontId="5" fillId="9" borderId="0" xfId="0" applyNumberFormat="1" applyFont="1" applyFill="1"/>
    <xf numFmtId="173" fontId="13" fillId="2" borderId="0" xfId="0" applyNumberFormat="1" applyFont="1" applyFill="1" applyAlignment="1">
      <alignment horizontal="center"/>
    </xf>
    <xf numFmtId="173" fontId="0" fillId="2" borderId="0" xfId="0" applyNumberFormat="1" applyFill="1" applyAlignment="1">
      <alignment horizontal="center"/>
    </xf>
    <xf numFmtId="173" fontId="12" fillId="2" borderId="0" xfId="0" applyNumberFormat="1" applyFont="1" applyFill="1" applyAlignment="1">
      <alignment horizontal="center"/>
    </xf>
    <xf numFmtId="173" fontId="5" fillId="2" borderId="0" xfId="0" applyNumberFormat="1" applyFont="1" applyFill="1" applyAlignment="1">
      <alignment horizontal="center"/>
    </xf>
    <xf numFmtId="173" fontId="0" fillId="2" borderId="0" xfId="0" applyNumberFormat="1" applyFill="1"/>
    <xf numFmtId="173" fontId="12" fillId="2" borderId="0" xfId="0" applyNumberFormat="1" applyFont="1" applyFill="1"/>
    <xf numFmtId="173" fontId="4" fillId="2" borderId="6" xfId="0" applyNumberFormat="1" applyFont="1" applyFill="1" applyBorder="1"/>
    <xf numFmtId="173" fontId="4" fillId="2" borderId="17" xfId="0" applyNumberFormat="1" applyFont="1" applyFill="1" applyBorder="1"/>
    <xf numFmtId="173" fontId="0" fillId="2" borderId="6" xfId="0" applyNumberFormat="1" applyFill="1" applyBorder="1" applyAlignment="1">
      <alignment horizontal="center"/>
    </xf>
    <xf numFmtId="169" fontId="3" fillId="10" borderId="6" xfId="0" applyNumberFormat="1" applyFont="1" applyFill="1" applyBorder="1" applyAlignment="1">
      <alignment horizontal="center"/>
    </xf>
    <xf numFmtId="169" fontId="13" fillId="2" borderId="0" xfId="0" applyNumberFormat="1" applyFont="1" applyFill="1" applyAlignment="1">
      <alignment horizontal="center"/>
    </xf>
    <xf numFmtId="1" fontId="3" fillId="10" borderId="6" xfId="0" applyNumberFormat="1" applyFont="1" applyFill="1" applyBorder="1" applyAlignment="1">
      <alignment horizontal="center"/>
    </xf>
    <xf numFmtId="1" fontId="13" fillId="2" borderId="0" xfId="0" applyNumberFormat="1" applyFont="1" applyFill="1" applyAlignment="1">
      <alignment horizontal="center"/>
    </xf>
    <xf numFmtId="1" fontId="3" fillId="10" borderId="11" xfId="0" applyNumberFormat="1" applyFont="1" applyFill="1" applyBorder="1" applyAlignment="1">
      <alignment horizontal="center"/>
    </xf>
    <xf numFmtId="1" fontId="0" fillId="10" borderId="6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73" fontId="7" fillId="2" borderId="0" xfId="0" applyNumberFormat="1" applyFont="1" applyFill="1"/>
    <xf numFmtId="173" fontId="5" fillId="9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3" applyFill="1" applyBorder="1"/>
    <xf numFmtId="0" fontId="4" fillId="2" borderId="0" xfId="3" applyFill="1"/>
    <xf numFmtId="0" fontId="4" fillId="2" borderId="3" xfId="3" applyFill="1" applyBorder="1" applyAlignment="1">
      <alignment horizontal="center"/>
    </xf>
    <xf numFmtId="0" fontId="4" fillId="2" borderId="3" xfId="3" applyFill="1" applyBorder="1"/>
    <xf numFmtId="0" fontId="4" fillId="2" borderId="6" xfId="3" applyFill="1" applyBorder="1" applyAlignment="1">
      <alignment horizontal="center"/>
    </xf>
    <xf numFmtId="0" fontId="4" fillId="2" borderId="0" xfId="3" applyFill="1" applyAlignment="1">
      <alignment horizontal="center"/>
    </xf>
    <xf numFmtId="2" fontId="4" fillId="2" borderId="6" xfId="3" applyNumberFormat="1" applyFill="1" applyBorder="1" applyAlignment="1">
      <alignment horizontal="center"/>
    </xf>
    <xf numFmtId="0" fontId="4" fillId="2" borderId="1" xfId="3" applyFill="1" applyBorder="1" applyAlignment="1">
      <alignment horizontal="center"/>
    </xf>
    <xf numFmtId="0" fontId="4" fillId="2" borderId="0" xfId="3" applyFill="1" applyAlignment="1">
      <alignment horizontal="right"/>
    </xf>
    <xf numFmtId="2" fontId="4" fillId="2" borderId="0" xfId="3" applyNumberFormat="1" applyFill="1" applyAlignment="1">
      <alignment horizontal="center"/>
    </xf>
    <xf numFmtId="0" fontId="7" fillId="2" borderId="0" xfId="3" applyFont="1" applyFill="1"/>
    <xf numFmtId="14" fontId="4" fillId="2" borderId="0" xfId="3" applyNumberFormat="1" applyFill="1"/>
    <xf numFmtId="0" fontId="4" fillId="2" borderId="2" xfId="3" applyFill="1" applyBorder="1"/>
    <xf numFmtId="0" fontId="4" fillId="2" borderId="18" xfId="3" applyFill="1" applyBorder="1"/>
    <xf numFmtId="167" fontId="4" fillId="2" borderId="0" xfId="3" applyNumberFormat="1" applyFill="1" applyAlignment="1">
      <alignment horizontal="center"/>
    </xf>
    <xf numFmtId="0" fontId="4" fillId="2" borderId="2" xfId="3" applyFill="1" applyBorder="1" applyAlignment="1">
      <alignment horizontal="center"/>
    </xf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5" fillId="2" borderId="1" xfId="3" applyFont="1" applyFill="1" applyBorder="1" applyAlignment="1">
      <alignment horizontal="center"/>
    </xf>
    <xf numFmtId="173" fontId="5" fillId="2" borderId="0" xfId="3" applyNumberFormat="1" applyFont="1" applyFill="1" applyAlignment="1">
      <alignment horizontal="center"/>
    </xf>
    <xf numFmtId="2" fontId="13" fillId="2" borderId="0" xfId="3" applyNumberFormat="1" applyFont="1" applyFill="1" applyAlignment="1">
      <alignment horizontal="center"/>
    </xf>
    <xf numFmtId="2" fontId="14" fillId="2" borderId="0" xfId="3" applyNumberFormat="1" applyFont="1" applyFill="1" applyAlignment="1">
      <alignment horizontal="center"/>
    </xf>
    <xf numFmtId="2" fontId="4" fillId="9" borderId="6" xfId="3" applyNumberFormat="1" applyFill="1" applyBorder="1" applyAlignment="1">
      <alignment horizontal="center"/>
    </xf>
    <xf numFmtId="2" fontId="4" fillId="2" borderId="17" xfId="3" applyNumberFormat="1" applyFill="1" applyBorder="1" applyAlignment="1">
      <alignment horizontal="center"/>
    </xf>
    <xf numFmtId="2" fontId="4" fillId="2" borderId="6" xfId="1" applyNumberFormat="1" applyFont="1" applyFill="1" applyBorder="1" applyAlignment="1">
      <alignment horizontal="center"/>
    </xf>
    <xf numFmtId="0" fontId="3" fillId="2" borderId="6" xfId="0" applyFont="1" applyFill="1" applyBorder="1"/>
    <xf numFmtId="2" fontId="3" fillId="9" borderId="0" xfId="0" applyNumberFormat="1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167" fontId="0" fillId="9" borderId="0" xfId="0" applyNumberFormat="1" applyFill="1" applyAlignment="1">
      <alignment horizontal="center"/>
    </xf>
    <xf numFmtId="0" fontId="13" fillId="9" borderId="0" xfId="0" applyFont="1" applyFill="1"/>
    <xf numFmtId="0" fontId="3" fillId="9" borderId="6" xfId="0" applyFont="1" applyFill="1" applyBorder="1"/>
    <xf numFmtId="1" fontId="3" fillId="9" borderId="6" xfId="0" applyNumberFormat="1" applyFont="1" applyFill="1" applyBorder="1"/>
    <xf numFmtId="0" fontId="3" fillId="9" borderId="6" xfId="0" applyFont="1" applyFill="1" applyBorder="1" applyAlignment="1">
      <alignment horizontal="center"/>
    </xf>
    <xf numFmtId="167" fontId="0" fillId="9" borderId="22" xfId="0" applyNumberFormat="1" applyFill="1" applyBorder="1" applyAlignment="1">
      <alignment horizontal="center"/>
    </xf>
    <xf numFmtId="172" fontId="3" fillId="11" borderId="6" xfId="0" applyNumberFormat="1" applyFont="1" applyFill="1" applyBorder="1" applyProtection="1">
      <protection locked="0"/>
    </xf>
    <xf numFmtId="1" fontId="3" fillId="11" borderId="6" xfId="0" applyNumberFormat="1" applyFont="1" applyFill="1" applyBorder="1" applyProtection="1">
      <protection locked="0"/>
    </xf>
    <xf numFmtId="1" fontId="3" fillId="11" borderId="6" xfId="0" applyNumberFormat="1" applyFont="1" applyFill="1" applyBorder="1" applyAlignment="1" applyProtection="1">
      <alignment horizontal="center"/>
      <protection locked="0"/>
    </xf>
    <xf numFmtId="1" fontId="3" fillId="9" borderId="6" xfId="0" applyNumberFormat="1" applyFont="1" applyFill="1" applyBorder="1" applyAlignment="1">
      <alignment horizontal="center"/>
    </xf>
    <xf numFmtId="167" fontId="5" fillId="9" borderId="22" xfId="0" applyNumberFormat="1" applyFont="1" applyFill="1" applyBorder="1" applyAlignment="1">
      <alignment horizontal="center"/>
    </xf>
    <xf numFmtId="1" fontId="3" fillId="9" borderId="0" xfId="0" applyNumberFormat="1" applyFont="1" applyFill="1" applyAlignment="1">
      <alignment horizontal="center"/>
    </xf>
    <xf numFmtId="0" fontId="3" fillId="9" borderId="2" xfId="0" applyFont="1" applyFill="1" applyBorder="1"/>
    <xf numFmtId="173" fontId="3" fillId="9" borderId="6" xfId="0" applyNumberFormat="1" applyFont="1" applyFill="1" applyBorder="1" applyAlignment="1">
      <alignment horizontal="center"/>
    </xf>
    <xf numFmtId="172" fontId="3" fillId="11" borderId="4" xfId="0" applyNumberFormat="1" applyFont="1" applyFill="1" applyBorder="1" applyProtection="1">
      <protection locked="0"/>
    </xf>
    <xf numFmtId="0" fontId="0" fillId="9" borderId="12" xfId="0" applyFill="1" applyBorder="1"/>
    <xf numFmtId="0" fontId="10" fillId="9" borderId="13" xfId="0" applyFont="1" applyFill="1" applyBorder="1"/>
    <xf numFmtId="0" fontId="0" fillId="9" borderId="13" xfId="0" applyFill="1" applyBorder="1"/>
    <xf numFmtId="0" fontId="4" fillId="9" borderId="13" xfId="0" applyFont="1" applyFill="1" applyBorder="1"/>
    <xf numFmtId="0" fontId="0" fillId="9" borderId="14" xfId="0" applyFill="1" applyBorder="1"/>
    <xf numFmtId="0" fontId="6" fillId="9" borderId="15" xfId="0" applyFont="1" applyFill="1" applyBorder="1"/>
    <xf numFmtId="0" fontId="6" fillId="9" borderId="0" xfId="0" applyFont="1" applyFill="1"/>
    <xf numFmtId="0" fontId="0" fillId="9" borderId="16" xfId="0" applyFill="1" applyBorder="1" applyProtection="1">
      <protection locked="0"/>
    </xf>
    <xf numFmtId="0" fontId="0" fillId="9" borderId="23" xfId="0" applyFill="1" applyBorder="1"/>
    <xf numFmtId="0" fontId="0" fillId="9" borderId="24" xfId="0" applyFill="1" applyBorder="1"/>
    <xf numFmtId="0" fontId="25" fillId="9" borderId="0" xfId="0" applyFont="1" applyFill="1"/>
    <xf numFmtId="0" fontId="25" fillId="9" borderId="8" xfId="0" applyFont="1" applyFill="1" applyBorder="1"/>
    <xf numFmtId="0" fontId="26" fillId="9" borderId="0" xfId="2" applyFont="1" applyFill="1" applyAlignment="1" applyProtection="1"/>
    <xf numFmtId="0" fontId="4" fillId="9" borderId="0" xfId="0" applyFont="1" applyFill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9" borderId="0" xfId="0" applyFill="1" applyAlignment="1">
      <alignment horizontal="right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3" fillId="9" borderId="13" xfId="0" applyFont="1" applyFill="1" applyBorder="1" applyAlignment="1">
      <alignment horizontal="right"/>
    </xf>
    <xf numFmtId="0" fontId="0" fillId="9" borderId="30" xfId="0" applyFill="1" applyBorder="1" applyAlignment="1">
      <alignment horizontal="center"/>
    </xf>
    <xf numFmtId="16" fontId="0" fillId="11" borderId="31" xfId="0" applyNumberFormat="1" applyFill="1" applyBorder="1" applyAlignment="1" applyProtection="1">
      <alignment vertical="top" wrapText="1"/>
      <protection locked="0"/>
    </xf>
    <xf numFmtId="16" fontId="0" fillId="11" borderId="32" xfId="0" applyNumberFormat="1" applyFill="1" applyBorder="1" applyProtection="1">
      <protection locked="0"/>
    </xf>
    <xf numFmtId="16" fontId="0" fillId="11" borderId="31" xfId="0" applyNumberFormat="1" applyFill="1" applyBorder="1" applyProtection="1"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0" fontId="9" fillId="9" borderId="0" xfId="0" applyFont="1" applyFill="1"/>
    <xf numFmtId="2" fontId="9" fillId="9" borderId="0" xfId="0" applyNumberFormat="1" applyFont="1" applyFill="1"/>
    <xf numFmtId="0" fontId="9" fillId="9" borderId="6" xfId="0" applyFont="1" applyFill="1" applyBorder="1"/>
    <xf numFmtId="0" fontId="9" fillId="9" borderId="22" xfId="0" applyFont="1" applyFill="1" applyBorder="1"/>
    <xf numFmtId="0" fontId="9" fillId="9" borderId="22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right"/>
    </xf>
    <xf numFmtId="0" fontId="9" fillId="9" borderId="0" xfId="0" applyFont="1" applyFill="1" applyAlignment="1">
      <alignment horizontal="center"/>
    </xf>
    <xf numFmtId="0" fontId="9" fillId="9" borderId="0" xfId="0" applyFont="1" applyFill="1" applyAlignment="1">
      <alignment horizontal="left"/>
    </xf>
    <xf numFmtId="2" fontId="4" fillId="9" borderId="0" xfId="0" applyNumberFormat="1" applyFont="1" applyFill="1"/>
    <xf numFmtId="2" fontId="9" fillId="10" borderId="27" xfId="0" applyNumberFormat="1" applyFont="1" applyFill="1" applyBorder="1"/>
    <xf numFmtId="0" fontId="9" fillId="10" borderId="33" xfId="0" applyFont="1" applyFill="1" applyBorder="1"/>
    <xf numFmtId="0" fontId="9" fillId="10" borderId="34" xfId="0" applyFont="1" applyFill="1" applyBorder="1"/>
    <xf numFmtId="0" fontId="25" fillId="9" borderId="0" xfId="0" applyFont="1" applyFill="1" applyAlignment="1">
      <alignment horizontal="left"/>
    </xf>
    <xf numFmtId="0" fontId="19" fillId="9" borderId="0" xfId="0" applyFont="1" applyFill="1"/>
    <xf numFmtId="2" fontId="25" fillId="9" borderId="6" xfId="0" applyNumberFormat="1" applyFont="1" applyFill="1" applyBorder="1"/>
    <xf numFmtId="0" fontId="0" fillId="9" borderId="6" xfId="0" applyFill="1" applyBorder="1"/>
    <xf numFmtId="0" fontId="25" fillId="9" borderId="0" xfId="0" applyFont="1" applyFill="1" applyAlignment="1">
      <alignment horizontal="right"/>
    </xf>
    <xf numFmtId="0" fontId="25" fillId="9" borderId="6" xfId="0" applyFont="1" applyFill="1" applyBorder="1" applyAlignment="1">
      <alignment horizontal="center"/>
    </xf>
    <xf numFmtId="0" fontId="25" fillId="9" borderId="6" xfId="0" applyFont="1" applyFill="1" applyBorder="1"/>
    <xf numFmtId="2" fontId="25" fillId="9" borderId="4" xfId="0" applyNumberFormat="1" applyFont="1" applyFill="1" applyBorder="1"/>
    <xf numFmtId="9" fontId="25" fillId="9" borderId="0" xfId="0" applyNumberFormat="1" applyFont="1" applyFill="1" applyAlignment="1">
      <alignment horizontal="left"/>
    </xf>
    <xf numFmtId="2" fontId="25" fillId="9" borderId="0" xfId="0" applyNumberFormat="1" applyFont="1" applyFill="1"/>
    <xf numFmtId="2" fontId="27" fillId="9" borderId="0" xfId="0" applyNumberFormat="1" applyFont="1" applyFill="1" applyAlignment="1">
      <alignment horizontal="right"/>
    </xf>
    <xf numFmtId="0" fontId="25" fillId="9" borderId="0" xfId="0" applyFont="1" applyFill="1" applyAlignment="1">
      <alignment horizontal="center"/>
    </xf>
    <xf numFmtId="2" fontId="25" fillId="9" borderId="11" xfId="0" applyNumberFormat="1" applyFont="1" applyFill="1" applyBorder="1"/>
    <xf numFmtId="165" fontId="25" fillId="9" borderId="0" xfId="0" applyNumberFormat="1" applyFont="1" applyFill="1"/>
    <xf numFmtId="174" fontId="25" fillId="9" borderId="6" xfId="0" applyNumberFormat="1" applyFont="1" applyFill="1" applyBorder="1" applyAlignment="1">
      <alignment horizontal="right"/>
    </xf>
    <xf numFmtId="2" fontId="25" fillId="9" borderId="3" xfId="0" applyNumberFormat="1" applyFont="1" applyFill="1" applyBorder="1"/>
    <xf numFmtId="16" fontId="25" fillId="9" borderId="0" xfId="0" applyNumberFormat="1" applyFont="1" applyFill="1" applyAlignment="1">
      <alignment horizontal="right"/>
    </xf>
    <xf numFmtId="2" fontId="25" fillId="9" borderId="27" xfId="0" applyNumberFormat="1" applyFont="1" applyFill="1" applyBorder="1"/>
    <xf numFmtId="2" fontId="25" fillId="9" borderId="6" xfId="0" applyNumberFormat="1" applyFont="1" applyFill="1" applyBorder="1" applyAlignment="1">
      <alignment horizontal="right"/>
    </xf>
    <xf numFmtId="173" fontId="25" fillId="9" borderId="6" xfId="0" applyNumberFormat="1" applyFont="1" applyFill="1" applyBorder="1"/>
    <xf numFmtId="2" fontId="25" fillId="9" borderId="19" xfId="0" applyNumberFormat="1" applyFont="1" applyFill="1" applyBorder="1"/>
    <xf numFmtId="0" fontId="15" fillId="9" borderId="0" xfId="0" applyFont="1" applyFill="1"/>
    <xf numFmtId="2" fontId="25" fillId="11" borderId="6" xfId="0" applyNumberFormat="1" applyFont="1" applyFill="1" applyBorder="1" applyAlignment="1" applyProtection="1">
      <alignment horizontal="right"/>
      <protection locked="0"/>
    </xf>
    <xf numFmtId="170" fontId="0" fillId="11" borderId="6" xfId="0" applyNumberFormat="1" applyFill="1" applyBorder="1" applyAlignment="1" applyProtection="1">
      <alignment horizontal="right"/>
      <protection locked="0"/>
    </xf>
    <xf numFmtId="173" fontId="0" fillId="11" borderId="6" xfId="0" applyNumberFormat="1" applyFill="1" applyBorder="1" applyAlignment="1" applyProtection="1">
      <alignment horizontal="right"/>
      <protection locked="0"/>
    </xf>
    <xf numFmtId="0" fontId="25" fillId="11" borderId="6" xfId="0" applyFont="1" applyFill="1" applyBorder="1" applyAlignment="1" applyProtection="1">
      <alignment horizontal="right"/>
      <protection locked="0"/>
    </xf>
    <xf numFmtId="2" fontId="19" fillId="10" borderId="27" xfId="0" applyNumberFormat="1" applyFont="1" applyFill="1" applyBorder="1"/>
    <xf numFmtId="2" fontId="19" fillId="10" borderId="30" xfId="0" applyNumberFormat="1" applyFont="1" applyFill="1" applyBorder="1"/>
    <xf numFmtId="0" fontId="0" fillId="12" borderId="0" xfId="0" applyFill="1"/>
    <xf numFmtId="0" fontId="0" fillId="12" borderId="0" xfId="0" applyFill="1" applyAlignment="1">
      <alignment horizontal="center"/>
    </xf>
    <xf numFmtId="0" fontId="12" fillId="12" borderId="0" xfId="0" applyFont="1" applyFill="1" applyAlignment="1">
      <alignment horizontal="center"/>
    </xf>
    <xf numFmtId="173" fontId="0" fillId="9" borderId="0" xfId="0" applyNumberFormat="1" applyFill="1"/>
    <xf numFmtId="0" fontId="30" fillId="9" borderId="0" xfId="0" applyFont="1" applyFill="1"/>
    <xf numFmtId="0" fontId="31" fillId="9" borderId="0" xfId="0" applyFont="1" applyFill="1"/>
    <xf numFmtId="168" fontId="3" fillId="10" borderId="6" xfId="0" applyNumberFormat="1" applyFont="1" applyFill="1" applyBorder="1" applyAlignment="1">
      <alignment horizontal="center"/>
    </xf>
    <xf numFmtId="173" fontId="3" fillId="10" borderId="6" xfId="0" applyNumberFormat="1" applyFont="1" applyFill="1" applyBorder="1" applyAlignment="1">
      <alignment horizontal="center"/>
    </xf>
    <xf numFmtId="1" fontId="4" fillId="10" borderId="6" xfId="3" applyNumberFormat="1" applyFill="1" applyBorder="1" applyAlignment="1">
      <alignment horizontal="center"/>
    </xf>
    <xf numFmtId="1" fontId="4" fillId="10" borderId="6" xfId="1" applyNumberFormat="1" applyFont="1" applyFill="1" applyBorder="1" applyAlignment="1">
      <alignment horizontal="center"/>
    </xf>
    <xf numFmtId="0" fontId="4" fillId="4" borderId="6" xfId="0" applyFon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11" borderId="6" xfId="0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4" fillId="4" borderId="4" xfId="0" applyFont="1" applyFill="1" applyBorder="1" applyProtection="1">
      <protection locked="0"/>
    </xf>
    <xf numFmtId="0" fontId="3" fillId="4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1" borderId="6" xfId="0" applyFont="1" applyFill="1" applyBorder="1" applyProtection="1">
      <protection locked="0"/>
    </xf>
    <xf numFmtId="0" fontId="3" fillId="11" borderId="6" xfId="0" applyFont="1" applyFill="1" applyBorder="1" applyAlignment="1" applyProtection="1">
      <alignment horizontal="center"/>
      <protection locked="0"/>
    </xf>
    <xf numFmtId="0" fontId="3" fillId="11" borderId="4" xfId="0" applyFont="1" applyFill="1" applyBorder="1" applyProtection="1">
      <protection locked="0"/>
    </xf>
    <xf numFmtId="49" fontId="9" fillId="9" borderId="7" xfId="0" applyNumberFormat="1" applyFont="1" applyFill="1" applyBorder="1" applyAlignment="1">
      <alignment horizontal="center"/>
    </xf>
    <xf numFmtId="1" fontId="3" fillId="10" borderId="6" xfId="3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73" fontId="3" fillId="9" borderId="10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2" fillId="9" borderId="0" xfId="2" applyFont="1" applyFill="1" applyBorder="1" applyAlignment="1" applyProtection="1"/>
    <xf numFmtId="0" fontId="32" fillId="9" borderId="0" xfId="2" applyFont="1" applyFill="1" applyAlignment="1" applyProtection="1"/>
    <xf numFmtId="0" fontId="33" fillId="9" borderId="0" xfId="2" applyFont="1" applyFill="1" applyAlignment="1" applyProtection="1"/>
    <xf numFmtId="0" fontId="17" fillId="9" borderId="0" xfId="2" applyFill="1" applyAlignment="1" applyProtection="1"/>
    <xf numFmtId="0" fontId="37" fillId="9" borderId="0" xfId="2" applyFont="1" applyFill="1" applyBorder="1" applyAlignment="1" applyProtection="1"/>
    <xf numFmtId="2" fontId="3" fillId="2" borderId="11" xfId="0" applyNumberFormat="1" applyFont="1" applyFill="1" applyBorder="1" applyAlignment="1">
      <alignment horizontal="center"/>
    </xf>
    <xf numFmtId="2" fontId="3" fillId="11" borderId="5" xfId="0" applyNumberFormat="1" applyFont="1" applyFill="1" applyBorder="1" applyAlignment="1" applyProtection="1">
      <alignment horizontal="center"/>
      <protection locked="0"/>
    </xf>
    <xf numFmtId="2" fontId="3" fillId="11" borderId="4" xfId="0" applyNumberFormat="1" applyFont="1" applyFill="1" applyBorder="1" applyAlignment="1" applyProtection="1">
      <alignment horizontal="center"/>
      <protection locked="0"/>
    </xf>
    <xf numFmtId="2" fontId="3" fillId="11" borderId="6" xfId="0" applyNumberFormat="1" applyFont="1" applyFill="1" applyBorder="1" applyAlignment="1" applyProtection="1">
      <alignment horizontal="center"/>
      <protection locked="0"/>
    </xf>
    <xf numFmtId="0" fontId="3" fillId="11" borderId="10" xfId="0" applyFont="1" applyFill="1" applyBorder="1" applyAlignment="1" applyProtection="1">
      <alignment horizontal="center"/>
      <protection locked="0"/>
    </xf>
    <xf numFmtId="2" fontId="3" fillId="11" borderId="10" xfId="0" applyNumberFormat="1" applyFont="1" applyFill="1" applyBorder="1" applyAlignment="1" applyProtection="1">
      <alignment horizontal="center"/>
      <protection locked="0"/>
    </xf>
    <xf numFmtId="0" fontId="3" fillId="11" borderId="11" xfId="0" applyFont="1" applyFill="1" applyBorder="1" applyAlignment="1" applyProtection="1">
      <alignment horizontal="center"/>
      <protection locked="0"/>
    </xf>
    <xf numFmtId="2" fontId="3" fillId="11" borderId="11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right"/>
    </xf>
    <xf numFmtId="49" fontId="4" fillId="9" borderId="7" xfId="0" applyNumberFormat="1" applyFont="1" applyFill="1" applyBorder="1" applyAlignment="1">
      <alignment horizontal="left"/>
    </xf>
    <xf numFmtId="0" fontId="4" fillId="9" borderId="7" xfId="0" applyFont="1" applyFill="1" applyBorder="1"/>
    <xf numFmtId="0" fontId="2" fillId="9" borderId="0" xfId="0" applyFont="1" applyFill="1" applyAlignment="1">
      <alignment horizontal="center" vertical="top" wrapText="1"/>
    </xf>
    <xf numFmtId="2" fontId="4" fillId="9" borderId="7" xfId="0" applyNumberFormat="1" applyFont="1" applyFill="1" applyBorder="1" applyAlignment="1">
      <alignment horizontal="center" vertical="top" wrapText="1"/>
    </xf>
    <xf numFmtId="0" fontId="4" fillId="9" borderId="20" xfId="0" applyFont="1" applyFill="1" applyBorder="1"/>
    <xf numFmtId="0" fontId="3" fillId="9" borderId="20" xfId="0" applyFont="1" applyFill="1" applyBorder="1"/>
    <xf numFmtId="0" fontId="3" fillId="9" borderId="20" xfId="0" applyFont="1" applyFill="1" applyBorder="1" applyAlignment="1">
      <alignment horizontal="left" wrapText="1"/>
    </xf>
    <xf numFmtId="0" fontId="3" fillId="9" borderId="18" xfId="0" applyFont="1" applyFill="1" applyBorder="1"/>
    <xf numFmtId="0" fontId="3" fillId="9" borderId="3" xfId="0" applyFont="1" applyFill="1" applyBorder="1"/>
    <xf numFmtId="0" fontId="4" fillId="9" borderId="11" xfId="0" applyFont="1" applyFill="1" applyBorder="1" applyAlignment="1">
      <alignment horizontal="center"/>
    </xf>
    <xf numFmtId="0" fontId="4" fillId="9" borderId="6" xfId="0" applyFont="1" applyFill="1" applyBorder="1"/>
    <xf numFmtId="0" fontId="3" fillId="9" borderId="11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left" wrapText="1"/>
    </xf>
    <xf numFmtId="0" fontId="3" fillId="9" borderId="10" xfId="0" applyFont="1" applyFill="1" applyBorder="1"/>
    <xf numFmtId="0" fontId="3" fillId="9" borderId="11" xfId="0" applyFont="1" applyFill="1" applyBorder="1" applyAlignment="1">
      <alignment wrapText="1"/>
    </xf>
    <xf numFmtId="0" fontId="3" fillId="9" borderId="11" xfId="0" applyFont="1" applyFill="1" applyBorder="1"/>
    <xf numFmtId="0" fontId="4" fillId="9" borderId="6" xfId="2" applyNumberFormat="1" applyFont="1" applyFill="1" applyBorder="1" applyAlignment="1" applyProtection="1">
      <alignment horizontal="center"/>
    </xf>
    <xf numFmtId="0" fontId="4" fillId="9" borderId="6" xfId="0" applyFont="1" applyFill="1" applyBorder="1" applyAlignment="1">
      <alignment horizontal="center"/>
    </xf>
    <xf numFmtId="2" fontId="4" fillId="9" borderId="8" xfId="0" applyNumberFormat="1" applyFont="1" applyFill="1" applyBorder="1" applyAlignment="1">
      <alignment horizontal="center"/>
    </xf>
    <xf numFmtId="2" fontId="0" fillId="9" borderId="6" xfId="0" applyNumberFormat="1" applyFill="1" applyBorder="1" applyAlignment="1">
      <alignment horizontal="center"/>
    </xf>
    <xf numFmtId="2" fontId="4" fillId="9" borderId="6" xfId="0" applyNumberFormat="1" applyFont="1" applyFill="1" applyBorder="1" applyAlignment="1">
      <alignment horizontal="center"/>
    </xf>
    <xf numFmtId="2" fontId="4" fillId="9" borderId="17" xfId="0" applyNumberFormat="1" applyFont="1" applyFill="1" applyBorder="1"/>
    <xf numFmtId="2" fontId="5" fillId="9" borderId="4" xfId="0" applyNumberFormat="1" applyFont="1" applyFill="1" applyBorder="1"/>
    <xf numFmtId="0" fontId="4" fillId="9" borderId="4" xfId="0" applyFont="1" applyFill="1" applyBorder="1"/>
    <xf numFmtId="2" fontId="4" fillId="9" borderId="34" xfId="0" applyNumberFormat="1" applyFont="1" applyFill="1" applyBorder="1"/>
    <xf numFmtId="1" fontId="3" fillId="9" borderId="11" xfId="0" applyNumberFormat="1" applyFont="1" applyFill="1" applyBorder="1" applyAlignment="1" applyProtection="1">
      <alignment horizontal="center"/>
      <protection locked="0"/>
    </xf>
    <xf numFmtId="1" fontId="3" fillId="9" borderId="6" xfId="0" applyNumberFormat="1" applyFont="1" applyFill="1" applyBorder="1" applyAlignment="1" applyProtection="1">
      <alignment horizontal="center"/>
      <protection locked="0"/>
    </xf>
    <xf numFmtId="1" fontId="5" fillId="9" borderId="6" xfId="0" applyNumberFormat="1" applyFont="1" applyFill="1" applyBorder="1"/>
    <xf numFmtId="0" fontId="0" fillId="9" borderId="6" xfId="0" applyFill="1" applyBorder="1" applyAlignment="1">
      <alignment horizontal="center"/>
    </xf>
    <xf numFmtId="167" fontId="3" fillId="9" borderId="6" xfId="0" applyNumberFormat="1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2" borderId="6" xfId="1" applyNumberFormat="1" applyFont="1" applyFill="1" applyBorder="1" applyAlignment="1">
      <alignment horizontal="center"/>
    </xf>
    <xf numFmtId="2" fontId="3" fillId="2" borderId="6" xfId="3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4" fillId="10" borderId="27" xfId="0" applyNumberFormat="1" applyFont="1" applyFill="1" applyBorder="1"/>
    <xf numFmtId="2" fontId="9" fillId="10" borderId="6" xfId="0" applyNumberFormat="1" applyFont="1" applyFill="1" applyBorder="1"/>
    <xf numFmtId="9" fontId="5" fillId="2" borderId="18" xfId="0" applyNumberFormat="1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2" fontId="13" fillId="2" borderId="0" xfId="0" applyNumberFormat="1" applyFont="1" applyFill="1" applyAlignment="1">
      <alignment horizontal="center"/>
    </xf>
    <xf numFmtId="2" fontId="4" fillId="11" borderId="6" xfId="0" applyNumberFormat="1" applyFont="1" applyFill="1" applyBorder="1" applyAlignment="1" applyProtection="1">
      <alignment horizontal="center"/>
      <protection locked="0"/>
    </xf>
    <xf numFmtId="2" fontId="0" fillId="9" borderId="1" xfId="0" applyNumberFormat="1" applyFill="1" applyBorder="1" applyAlignment="1">
      <alignment horizontal="center"/>
    </xf>
    <xf numFmtId="2" fontId="0" fillId="9" borderId="0" xfId="0" applyNumberFormat="1" applyFill="1" applyAlignment="1">
      <alignment horizontal="center"/>
    </xf>
    <xf numFmtId="173" fontId="13" fillId="9" borderId="0" xfId="0" applyNumberFormat="1" applyFont="1" applyFill="1" applyAlignment="1">
      <alignment horizontal="center"/>
    </xf>
    <xf numFmtId="173" fontId="13" fillId="9" borderId="1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5" fillId="9" borderId="0" xfId="0" applyFont="1" applyFill="1" applyAlignment="1">
      <alignment horizontal="right"/>
    </xf>
    <xf numFmtId="1" fontId="3" fillId="10" borderId="20" xfId="0" applyNumberFormat="1" applyFont="1" applyFill="1" applyBorder="1" applyAlignment="1">
      <alignment horizontal="center"/>
    </xf>
    <xf numFmtId="0" fontId="4" fillId="2" borderId="5" xfId="3" applyFill="1" applyBorder="1" applyAlignment="1">
      <alignment horizontal="center"/>
    </xf>
    <xf numFmtId="0" fontId="4" fillId="2" borderId="19" xfId="3" applyFill="1" applyBorder="1" applyAlignment="1">
      <alignment horizontal="center"/>
    </xf>
    <xf numFmtId="14" fontId="9" fillId="2" borderId="0" xfId="0" applyNumberFormat="1" applyFont="1" applyFill="1"/>
    <xf numFmtId="0" fontId="3" fillId="2" borderId="4" xfId="0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0" fontId="0" fillId="0" borderId="1" xfId="0" applyBorder="1"/>
    <xf numFmtId="0" fontId="0" fillId="3" borderId="0" xfId="0" applyFill="1" applyAlignment="1">
      <alignment horizontal="center"/>
    </xf>
    <xf numFmtId="167" fontId="8" fillId="2" borderId="0" xfId="0" applyNumberFormat="1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4" fillId="2" borderId="19" xfId="3" applyFill="1" applyBorder="1"/>
    <xf numFmtId="0" fontId="0" fillId="2" borderId="17" xfId="0" applyFill="1" applyBorder="1" applyAlignment="1">
      <alignment horizontal="left"/>
    </xf>
    <xf numFmtId="0" fontId="38" fillId="9" borderId="0" xfId="0" applyFont="1" applyFill="1"/>
    <xf numFmtId="1" fontId="3" fillId="9" borderId="9" xfId="0" applyNumberFormat="1" applyFont="1" applyFill="1" applyBorder="1" applyAlignment="1" applyProtection="1">
      <alignment horizontal="center"/>
      <protection locked="0"/>
    </xf>
    <xf numFmtId="1" fontId="3" fillId="9" borderId="8" xfId="0" applyNumberFormat="1" applyFont="1" applyFill="1" applyBorder="1" applyAlignment="1" applyProtection="1">
      <alignment horizontal="center"/>
      <protection locked="0"/>
    </xf>
    <xf numFmtId="0" fontId="22" fillId="9" borderId="0" xfId="0" applyFont="1" applyFill="1"/>
    <xf numFmtId="2" fontId="7" fillId="9" borderId="0" xfId="0" applyNumberFormat="1" applyFont="1" applyFill="1"/>
    <xf numFmtId="0" fontId="2" fillId="9" borderId="1" xfId="0" applyFont="1" applyFill="1" applyBorder="1" applyAlignment="1">
      <alignment horizontal="center"/>
    </xf>
    <xf numFmtId="0" fontId="23" fillId="9" borderId="0" xfId="0" applyFont="1" applyFill="1"/>
    <xf numFmtId="0" fontId="0" fillId="9" borderId="19" xfId="0" applyFill="1" applyBorder="1"/>
    <xf numFmtId="0" fontId="5" fillId="2" borderId="17" xfId="0" applyFont="1" applyFill="1" applyBorder="1"/>
    <xf numFmtId="0" fontId="0" fillId="2" borderId="7" xfId="0" applyFill="1" applyBorder="1" applyAlignment="1">
      <alignment horizontal="left"/>
    </xf>
    <xf numFmtId="0" fontId="4" fillId="2" borderId="8" xfId="0" applyFont="1" applyFill="1" applyBorder="1"/>
    <xf numFmtId="0" fontId="4" fillId="2" borderId="9" xfId="0" applyFont="1" applyFill="1" applyBorder="1"/>
    <xf numFmtId="1" fontId="3" fillId="9" borderId="5" xfId="0" applyNumberFormat="1" applyFont="1" applyFill="1" applyBorder="1" applyProtection="1">
      <protection locked="0"/>
    </xf>
    <xf numFmtId="1" fontId="3" fillId="9" borderId="8" xfId="0" applyNumberFormat="1" applyFont="1" applyFill="1" applyBorder="1" applyAlignment="1">
      <alignment horizontal="left"/>
    </xf>
    <xf numFmtId="1" fontId="3" fillId="9" borderId="9" xfId="0" applyNumberFormat="1" applyFont="1" applyFill="1" applyBorder="1" applyAlignment="1">
      <alignment horizontal="left"/>
    </xf>
    <xf numFmtId="167" fontId="5" fillId="2" borderId="0" xfId="0" applyNumberFormat="1" applyFont="1" applyFill="1" applyAlignment="1">
      <alignment horizontal="center"/>
    </xf>
    <xf numFmtId="14" fontId="5" fillId="2" borderId="0" xfId="0" applyNumberFormat="1" applyFont="1" applyFill="1"/>
    <xf numFmtId="0" fontId="35" fillId="9" borderId="0" xfId="0" applyFont="1" applyFill="1"/>
    <xf numFmtId="49" fontId="3" fillId="11" borderId="6" xfId="0" applyNumberFormat="1" applyFont="1" applyFill="1" applyBorder="1" applyAlignment="1" applyProtection="1">
      <alignment horizontal="center"/>
      <protection locked="0"/>
    </xf>
    <xf numFmtId="0" fontId="3" fillId="11" borderId="20" xfId="5" applyNumberFormat="1" applyFont="1" applyFill="1" applyBorder="1" applyAlignment="1" applyProtection="1">
      <alignment horizontal="center"/>
      <protection locked="0"/>
    </xf>
    <xf numFmtId="0" fontId="3" fillId="11" borderId="6" xfId="5" applyNumberFormat="1" applyFont="1" applyFill="1" applyBorder="1" applyAlignment="1" applyProtection="1">
      <alignment horizontal="center"/>
      <protection locked="0"/>
    </xf>
    <xf numFmtId="0" fontId="3" fillId="11" borderId="10" xfId="5" applyNumberFormat="1" applyFont="1" applyFill="1" applyBorder="1" applyAlignment="1" applyProtection="1">
      <alignment horizontal="center"/>
      <protection locked="0"/>
    </xf>
    <xf numFmtId="0" fontId="3" fillId="11" borderId="11" xfId="5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  <xf numFmtId="0" fontId="5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7" fontId="3" fillId="2" borderId="0" xfId="0" applyNumberFormat="1" applyFont="1" applyFill="1" applyAlignment="1">
      <alignment horizontal="left"/>
    </xf>
    <xf numFmtId="0" fontId="13" fillId="2" borderId="7" xfId="0" applyFont="1" applyFill="1" applyBorder="1"/>
    <xf numFmtId="167" fontId="3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2" borderId="9" xfId="0" applyFont="1" applyFill="1" applyBorder="1"/>
    <xf numFmtId="0" fontId="3" fillId="2" borderId="1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1" xfId="0" applyFont="1" applyFill="1" applyBorder="1"/>
    <xf numFmtId="169" fontId="13" fillId="2" borderId="1" xfId="0" applyNumberFormat="1" applyFont="1" applyFill="1" applyBorder="1" applyAlignment="1">
      <alignment horizontal="center"/>
    </xf>
    <xf numFmtId="167" fontId="13" fillId="2" borderId="3" xfId="0" applyNumberFormat="1" applyFont="1" applyFill="1" applyBorder="1" applyAlignment="1">
      <alignment horizontal="center"/>
    </xf>
    <xf numFmtId="169" fontId="5" fillId="2" borderId="2" xfId="0" applyNumberFormat="1" applyFont="1" applyFill="1" applyBorder="1" applyAlignment="1">
      <alignment horizontal="center"/>
    </xf>
    <xf numFmtId="167" fontId="5" fillId="2" borderId="3" xfId="0" applyNumberFormat="1" applyFont="1" applyFill="1" applyBorder="1" applyAlignment="1">
      <alignment horizontal="center"/>
    </xf>
    <xf numFmtId="167" fontId="0" fillId="2" borderId="9" xfId="0" applyNumberFormat="1" applyFill="1" applyBorder="1" applyAlignment="1">
      <alignment horizontal="center"/>
    </xf>
    <xf numFmtId="173" fontId="0" fillId="2" borderId="4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4" fillId="2" borderId="17" xfId="0" applyFont="1" applyFill="1" applyBorder="1"/>
    <xf numFmtId="1" fontId="0" fillId="2" borderId="8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67" fontId="4" fillId="2" borderId="0" xfId="0" applyNumberFormat="1" applyFont="1" applyFill="1" applyAlignment="1">
      <alignment horizontal="left"/>
    </xf>
    <xf numFmtId="2" fontId="4" fillId="9" borderId="36" xfId="0" applyNumberFormat="1" applyFont="1" applyFill="1" applyBorder="1"/>
    <xf numFmtId="2" fontId="4" fillId="9" borderId="36" xfId="0" applyNumberFormat="1" applyFont="1" applyFill="1" applyBorder="1" applyAlignment="1">
      <alignment horizontal="center"/>
    </xf>
    <xf numFmtId="2" fontId="0" fillId="9" borderId="36" xfId="0" applyNumberFormat="1" applyFill="1" applyBorder="1" applyAlignment="1">
      <alignment horizontal="center"/>
    </xf>
    <xf numFmtId="2" fontId="4" fillId="9" borderId="37" xfId="0" applyNumberFormat="1" applyFont="1" applyFill="1" applyBorder="1"/>
    <xf numFmtId="1" fontId="4" fillId="9" borderId="29" xfId="0" applyNumberFormat="1" applyFont="1" applyFill="1" applyBorder="1" applyAlignment="1">
      <alignment horizontal="center"/>
    </xf>
    <xf numFmtId="2" fontId="25" fillId="9" borderId="0" xfId="0" applyNumberFormat="1" applyFont="1" applyFill="1" applyAlignment="1" applyProtection="1">
      <alignment horizontal="right"/>
      <protection locked="0"/>
    </xf>
    <xf numFmtId="2" fontId="25" fillId="0" borderId="0" xfId="0" applyNumberFormat="1" applyFont="1" applyAlignment="1" applyProtection="1">
      <alignment horizontal="right"/>
      <protection locked="0"/>
    </xf>
    <xf numFmtId="0" fontId="25" fillId="9" borderId="5" xfId="0" applyFont="1" applyFill="1" applyBorder="1" applyAlignment="1">
      <alignment horizontal="right"/>
    </xf>
    <xf numFmtId="2" fontId="25" fillId="11" borderId="11" xfId="0" applyNumberFormat="1" applyFont="1" applyFill="1" applyBorder="1" applyAlignment="1" applyProtection="1">
      <alignment horizontal="right"/>
      <protection locked="0"/>
    </xf>
    <xf numFmtId="0" fontId="25" fillId="9" borderId="7" xfId="0" applyFont="1" applyFill="1" applyBorder="1"/>
    <xf numFmtId="0" fontId="25" fillId="9" borderId="7" xfId="0" applyFont="1" applyFill="1" applyBorder="1" applyAlignment="1">
      <alignment horizontal="right"/>
    </xf>
    <xf numFmtId="0" fontId="0" fillId="9" borderId="7" xfId="0" applyFill="1" applyBorder="1"/>
    <xf numFmtId="0" fontId="0" fillId="9" borderId="7" xfId="0" applyFill="1" applyBorder="1" applyAlignment="1">
      <alignment horizontal="right"/>
    </xf>
    <xf numFmtId="1" fontId="25" fillId="9" borderId="6" xfId="0" applyNumberFormat="1" applyFont="1" applyFill="1" applyBorder="1"/>
    <xf numFmtId="0" fontId="4" fillId="9" borderId="20" xfId="2" applyNumberFormat="1" applyFont="1" applyFill="1" applyBorder="1" applyAlignment="1" applyProtection="1">
      <alignment horizontal="center"/>
    </xf>
    <xf numFmtId="0" fontId="4" fillId="9" borderId="20" xfId="0" applyFont="1" applyFill="1" applyBorder="1" applyAlignment="1">
      <alignment horizontal="center"/>
    </xf>
    <xf numFmtId="2" fontId="4" fillId="9" borderId="2" xfId="0" applyNumberFormat="1" applyFont="1" applyFill="1" applyBorder="1" applyAlignment="1">
      <alignment horizontal="center"/>
    </xf>
    <xf numFmtId="2" fontId="0" fillId="9" borderId="20" xfId="0" applyNumberFormat="1" applyFill="1" applyBorder="1" applyAlignment="1">
      <alignment horizontal="center"/>
    </xf>
    <xf numFmtId="2" fontId="4" fillId="9" borderId="20" xfId="0" applyNumberFormat="1" applyFont="1" applyFill="1" applyBorder="1" applyAlignment="1">
      <alignment horizontal="center"/>
    </xf>
    <xf numFmtId="2" fontId="4" fillId="9" borderId="1" xfId="0" applyNumberFormat="1" applyFont="1" applyFill="1" applyBorder="1"/>
    <xf numFmtId="2" fontId="5" fillId="9" borderId="3" xfId="0" applyNumberFormat="1" applyFont="1" applyFill="1" applyBorder="1"/>
    <xf numFmtId="2" fontId="4" fillId="13" borderId="11" xfId="0" applyNumberFormat="1" applyFont="1" applyFill="1" applyBorder="1" applyAlignment="1" applyProtection="1">
      <alignment horizontal="center"/>
      <protection locked="0"/>
    </xf>
    <xf numFmtId="2" fontId="4" fillId="13" borderId="6" xfId="0" applyNumberFormat="1" applyFont="1" applyFill="1" applyBorder="1" applyAlignment="1" applyProtection="1">
      <alignment horizontal="center"/>
      <protection locked="0"/>
    </xf>
    <xf numFmtId="2" fontId="4" fillId="13" borderId="20" xfId="0" applyNumberFormat="1" applyFont="1" applyFill="1" applyBorder="1" applyAlignment="1" applyProtection="1">
      <alignment horizontal="center"/>
      <protection locked="0"/>
    </xf>
    <xf numFmtId="0" fontId="0" fillId="9" borderId="38" xfId="0" applyFill="1" applyBorder="1"/>
    <xf numFmtId="1" fontId="0" fillId="9" borderId="39" xfId="0" applyNumberFormat="1" applyFill="1" applyBorder="1" applyAlignment="1">
      <alignment horizontal="center"/>
    </xf>
    <xf numFmtId="2" fontId="4" fillId="9" borderId="9" xfId="0" applyNumberFormat="1" applyFont="1" applyFill="1" applyBorder="1" applyAlignment="1">
      <alignment horizontal="center"/>
    </xf>
    <xf numFmtId="2" fontId="0" fillId="9" borderId="11" xfId="0" applyNumberFormat="1" applyFill="1" applyBorder="1" applyAlignment="1">
      <alignment horizontal="center"/>
    </xf>
    <xf numFmtId="2" fontId="4" fillId="9" borderId="11" xfId="0" applyNumberFormat="1" applyFont="1" applyFill="1" applyBorder="1" applyAlignment="1">
      <alignment horizontal="center"/>
    </xf>
    <xf numFmtId="2" fontId="4" fillId="9" borderId="7" xfId="0" applyNumberFormat="1" applyFont="1" applyFill="1" applyBorder="1"/>
    <xf numFmtId="2" fontId="5" fillId="9" borderId="5" xfId="0" applyNumberFormat="1" applyFont="1" applyFill="1" applyBorder="1"/>
    <xf numFmtId="0" fontId="4" fillId="9" borderId="11" xfId="2" applyNumberFormat="1" applyFont="1" applyFill="1" applyBorder="1" applyAlignment="1" applyProtection="1">
      <alignment horizontal="center"/>
    </xf>
    <xf numFmtId="0" fontId="0" fillId="9" borderId="11" xfId="0" applyFill="1" applyBorder="1"/>
    <xf numFmtId="0" fontId="0" fillId="9" borderId="20" xfId="0" applyFill="1" applyBorder="1"/>
    <xf numFmtId="1" fontId="3" fillId="9" borderId="18" xfId="0" applyNumberFormat="1" applyFont="1" applyFill="1" applyBorder="1" applyAlignment="1">
      <alignment horizontal="left"/>
    </xf>
    <xf numFmtId="0" fontId="4" fillId="4" borderId="40" xfId="0" applyFont="1" applyFill="1" applyBorder="1" applyAlignment="1" applyProtection="1">
      <alignment horizontal="center"/>
      <protection locked="0"/>
    </xf>
    <xf numFmtId="1" fontId="4" fillId="4" borderId="41" xfId="0" applyNumberFormat="1" applyFont="1" applyFill="1" applyBorder="1" applyAlignment="1" applyProtection="1">
      <alignment horizontal="center"/>
      <protection locked="0"/>
    </xf>
    <xf numFmtId="2" fontId="4" fillId="4" borderId="42" xfId="0" applyNumberFormat="1" applyFont="1" applyFill="1" applyBorder="1" applyAlignment="1" applyProtection="1">
      <alignment horizontal="center"/>
      <protection locked="0"/>
    </xf>
    <xf numFmtId="1" fontId="4" fillId="4" borderId="43" xfId="0" applyNumberFormat="1" applyFont="1" applyFill="1" applyBorder="1" applyAlignment="1" applyProtection="1">
      <alignment horizontal="center"/>
      <protection locked="0"/>
    </xf>
    <xf numFmtId="2" fontId="4" fillId="4" borderId="44" xfId="0" applyNumberFormat="1" applyFont="1" applyFill="1" applyBorder="1" applyAlignment="1" applyProtection="1">
      <alignment horizontal="center"/>
      <protection locked="0"/>
    </xf>
    <xf numFmtId="0" fontId="4" fillId="0" borderId="45" xfId="0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4" fillId="0" borderId="0" xfId="0" applyFont="1"/>
    <xf numFmtId="0" fontId="4" fillId="4" borderId="46" xfId="0" applyFont="1" applyFill="1" applyBorder="1" applyAlignment="1" applyProtection="1">
      <alignment horizontal="center"/>
      <protection locked="0"/>
    </xf>
    <xf numFmtId="1" fontId="4" fillId="4" borderId="47" xfId="0" applyNumberFormat="1" applyFont="1" applyFill="1" applyBorder="1" applyAlignment="1" applyProtection="1">
      <alignment horizontal="center"/>
      <protection locked="0"/>
    </xf>
    <xf numFmtId="2" fontId="4" fillId="4" borderId="26" xfId="0" applyNumberFormat="1" applyFont="1" applyFill="1" applyBorder="1" applyAlignment="1" applyProtection="1">
      <alignment horizontal="center"/>
      <protection locked="0"/>
    </xf>
    <xf numFmtId="1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8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4" borderId="48" xfId="0" applyFont="1" applyFill="1" applyBorder="1" applyAlignment="1" applyProtection="1">
      <alignment horizontal="center"/>
      <protection locked="0"/>
    </xf>
    <xf numFmtId="1" fontId="4" fillId="4" borderId="29" xfId="0" applyNumberFormat="1" applyFont="1" applyFill="1" applyBorder="1" applyAlignment="1" applyProtection="1">
      <alignment horizontal="center"/>
      <protection locked="0"/>
    </xf>
    <xf numFmtId="2" fontId="4" fillId="4" borderId="37" xfId="0" applyNumberFormat="1" applyFont="1" applyFill="1" applyBorder="1" applyAlignment="1" applyProtection="1">
      <alignment horizontal="center"/>
      <protection locked="0"/>
    </xf>
    <xf numFmtId="1" fontId="4" fillId="4" borderId="28" xfId="0" applyNumberFormat="1" applyFont="1" applyFill="1" applyBorder="1" applyAlignment="1" applyProtection="1">
      <alignment horizontal="center"/>
      <protection locked="0"/>
    </xf>
    <xf numFmtId="2" fontId="4" fillId="4" borderId="49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0" fontId="4" fillId="13" borderId="50" xfId="0" applyFont="1" applyFill="1" applyBorder="1" applyAlignment="1" applyProtection="1">
      <alignment horizontal="center"/>
      <protection locked="0"/>
    </xf>
    <xf numFmtId="1" fontId="4" fillId="13" borderId="51" xfId="0" applyNumberFormat="1" applyFont="1" applyFill="1" applyBorder="1" applyAlignment="1" applyProtection="1">
      <alignment horizontal="center"/>
      <protection locked="0"/>
    </xf>
    <xf numFmtId="2" fontId="4" fillId="13" borderId="52" xfId="0" applyNumberFormat="1" applyFont="1" applyFill="1" applyBorder="1" applyAlignment="1" applyProtection="1">
      <alignment horizontal="center"/>
      <protection locked="0"/>
    </xf>
    <xf numFmtId="2" fontId="4" fillId="13" borderId="9" xfId="0" applyNumberFormat="1" applyFont="1" applyFill="1" applyBorder="1" applyAlignment="1" applyProtection="1">
      <alignment horizontal="center"/>
      <protection locked="0"/>
    </xf>
    <xf numFmtId="0" fontId="4" fillId="9" borderId="51" xfId="0" applyFont="1" applyFill="1" applyBorder="1" applyAlignment="1">
      <alignment horizontal="center"/>
    </xf>
    <xf numFmtId="2" fontId="4" fillId="9" borderId="52" xfId="0" applyNumberFormat="1" applyFont="1" applyFill="1" applyBorder="1" applyAlignment="1">
      <alignment horizontal="center"/>
    </xf>
    <xf numFmtId="0" fontId="4" fillId="13" borderId="46" xfId="0" applyFont="1" applyFill="1" applyBorder="1" applyAlignment="1" applyProtection="1">
      <alignment horizontal="center"/>
      <protection locked="0"/>
    </xf>
    <xf numFmtId="1" fontId="4" fillId="13" borderId="47" xfId="0" applyNumberFormat="1" applyFont="1" applyFill="1" applyBorder="1" applyAlignment="1" applyProtection="1">
      <alignment horizontal="center"/>
      <protection locked="0"/>
    </xf>
    <xf numFmtId="2" fontId="4" fillId="13" borderId="26" xfId="0" applyNumberFormat="1" applyFont="1" applyFill="1" applyBorder="1" applyAlignment="1" applyProtection="1">
      <alignment horizontal="center"/>
      <protection locked="0"/>
    </xf>
    <xf numFmtId="2" fontId="4" fillId="13" borderId="8" xfId="0" applyNumberFormat="1" applyFont="1" applyFill="1" applyBorder="1" applyAlignment="1" applyProtection="1">
      <alignment horizontal="center"/>
      <protection locked="0"/>
    </xf>
    <xf numFmtId="0" fontId="4" fillId="9" borderId="47" xfId="0" applyFont="1" applyFill="1" applyBorder="1" applyAlignment="1">
      <alignment horizontal="center"/>
    </xf>
    <xf numFmtId="2" fontId="4" fillId="9" borderId="26" xfId="0" applyNumberFormat="1" applyFont="1" applyFill="1" applyBorder="1" applyAlignment="1">
      <alignment horizontal="center"/>
    </xf>
    <xf numFmtId="0" fontId="4" fillId="13" borderId="53" xfId="0" applyFont="1" applyFill="1" applyBorder="1" applyAlignment="1" applyProtection="1">
      <alignment horizontal="center"/>
      <protection locked="0"/>
    </xf>
    <xf numFmtId="1" fontId="4" fillId="13" borderId="54" xfId="0" applyNumberFormat="1" applyFont="1" applyFill="1" applyBorder="1" applyAlignment="1" applyProtection="1">
      <alignment horizontal="center"/>
      <protection locked="0"/>
    </xf>
    <xf numFmtId="2" fontId="4" fillId="13" borderId="39" xfId="0" applyNumberFormat="1" applyFont="1" applyFill="1" applyBorder="1" applyAlignment="1" applyProtection="1">
      <alignment horizontal="center"/>
      <protection locked="0"/>
    </xf>
    <xf numFmtId="2" fontId="4" fillId="13" borderId="2" xfId="0" applyNumberFormat="1" applyFont="1" applyFill="1" applyBorder="1" applyAlignment="1" applyProtection="1">
      <alignment horizontal="center"/>
      <protection locked="0"/>
    </xf>
    <xf numFmtId="0" fontId="4" fillId="9" borderId="54" xfId="0" applyFont="1" applyFill="1" applyBorder="1" applyAlignment="1">
      <alignment horizontal="center"/>
    </xf>
    <xf numFmtId="2" fontId="4" fillId="9" borderId="39" xfId="0" applyNumberFormat="1" applyFont="1" applyFill="1" applyBorder="1" applyAlignment="1">
      <alignment horizontal="center"/>
    </xf>
    <xf numFmtId="0" fontId="4" fillId="9" borderId="55" xfId="0" applyFont="1" applyFill="1" applyBorder="1" applyAlignment="1">
      <alignment horizontal="center"/>
    </xf>
    <xf numFmtId="2" fontId="4" fillId="9" borderId="56" xfId="0" applyNumberFormat="1" applyFont="1" applyFill="1" applyBorder="1" applyAlignment="1">
      <alignment horizontal="center"/>
    </xf>
    <xf numFmtId="0" fontId="4" fillId="9" borderId="0" xfId="0" applyFont="1" applyFill="1" applyAlignment="1">
      <alignment horizontal="right"/>
    </xf>
    <xf numFmtId="1" fontId="4" fillId="9" borderId="0" xfId="0" applyNumberFormat="1" applyFont="1" applyFill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4" fillId="9" borderId="8" xfId="0" applyFont="1" applyFill="1" applyBorder="1"/>
    <xf numFmtId="0" fontId="4" fillId="9" borderId="17" xfId="0" applyFont="1" applyFill="1" applyBorder="1"/>
    <xf numFmtId="2" fontId="4" fillId="5" borderId="17" xfId="0" applyNumberFormat="1" applyFont="1" applyFill="1" applyBorder="1"/>
    <xf numFmtId="0" fontId="4" fillId="0" borderId="4" xfId="0" applyFont="1" applyBorder="1"/>
    <xf numFmtId="0" fontId="4" fillId="9" borderId="49" xfId="0" applyFont="1" applyFill="1" applyBorder="1"/>
    <xf numFmtId="0" fontId="4" fillId="9" borderId="22" xfId="0" applyFont="1" applyFill="1" applyBorder="1"/>
    <xf numFmtId="2" fontId="4" fillId="0" borderId="22" xfId="0" applyNumberFormat="1" applyFont="1" applyBorder="1"/>
    <xf numFmtId="0" fontId="4" fillId="0" borderId="28" xfId="0" applyFont="1" applyBorder="1"/>
    <xf numFmtId="0" fontId="4" fillId="6" borderId="27" xfId="0" applyFont="1" applyFill="1" applyBorder="1"/>
    <xf numFmtId="2" fontId="4" fillId="7" borderId="6" xfId="0" applyNumberFormat="1" applyFont="1" applyFill="1" applyBorder="1" applyProtection="1">
      <protection locked="0"/>
    </xf>
    <xf numFmtId="2" fontId="4" fillId="8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0" borderId="41" xfId="0" applyFont="1" applyBorder="1"/>
    <xf numFmtId="0" fontId="4" fillId="0" borderId="42" xfId="0" applyFont="1" applyBorder="1"/>
    <xf numFmtId="0" fontId="4" fillId="0" borderId="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0" xfId="0" applyFont="1"/>
    <xf numFmtId="0" fontId="13" fillId="9" borderId="57" xfId="0" applyFont="1" applyFill="1" applyBorder="1" applyAlignment="1">
      <alignment horizontal="center"/>
    </xf>
    <xf numFmtId="2" fontId="13" fillId="9" borderId="34" xfId="0" applyNumberFormat="1" applyFont="1" applyFill="1" applyBorder="1" applyAlignment="1">
      <alignment horizontal="center"/>
    </xf>
    <xf numFmtId="0" fontId="13" fillId="0" borderId="0" xfId="0" applyFont="1"/>
    <xf numFmtId="0" fontId="4" fillId="9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9" fillId="9" borderId="6" xfId="2" applyNumberFormat="1" applyFont="1" applyFill="1" applyBorder="1" applyAlignment="1" applyProtection="1">
      <alignment horizontal="center"/>
    </xf>
    <xf numFmtId="0" fontId="0" fillId="9" borderId="10" xfId="0" applyFill="1" applyBorder="1"/>
    <xf numFmtId="1" fontId="0" fillId="9" borderId="6" xfId="0" applyNumberFormat="1" applyFill="1" applyBorder="1" applyAlignment="1">
      <alignment horizontal="center"/>
    </xf>
    <xf numFmtId="2" fontId="4" fillId="9" borderId="10" xfId="0" applyNumberFormat="1" applyFont="1" applyFill="1" applyBorder="1" applyAlignment="1" applyProtection="1">
      <alignment horizontal="center"/>
      <protection locked="0"/>
    </xf>
    <xf numFmtId="2" fontId="4" fillId="9" borderId="18" xfId="0" applyNumberFormat="1" applyFont="1" applyFill="1" applyBorder="1" applyAlignment="1">
      <alignment horizontal="center"/>
    </xf>
    <xf numFmtId="2" fontId="0" fillId="9" borderId="10" xfId="0" applyNumberFormat="1" applyFill="1" applyBorder="1" applyAlignment="1">
      <alignment horizontal="center"/>
    </xf>
    <xf numFmtId="2" fontId="5" fillId="9" borderId="19" xfId="0" applyNumberFormat="1" applyFont="1" applyFill="1" applyBorder="1"/>
    <xf numFmtId="2" fontId="4" fillId="9" borderId="20" xfId="0" applyNumberFormat="1" applyFont="1" applyFill="1" applyBorder="1" applyAlignment="1" applyProtection="1">
      <alignment horizontal="center"/>
      <protection locked="0"/>
    </xf>
    <xf numFmtId="2" fontId="4" fillId="9" borderId="6" xfId="0" applyNumberFormat="1" applyFont="1" applyFill="1" applyBorder="1" applyAlignment="1" applyProtection="1">
      <alignment horizontal="center"/>
      <protection locked="0"/>
    </xf>
    <xf numFmtId="2" fontId="4" fillId="9" borderId="6" xfId="0" applyNumberFormat="1" applyFont="1" applyFill="1" applyBorder="1"/>
    <xf numFmtId="2" fontId="5" fillId="9" borderId="6" xfId="0" applyNumberFormat="1" applyFont="1" applyFill="1" applyBorder="1"/>
    <xf numFmtId="0" fontId="4" fillId="14" borderId="50" xfId="0" applyFont="1" applyFill="1" applyBorder="1" applyAlignment="1" applyProtection="1">
      <alignment horizontal="center"/>
      <protection locked="0"/>
    </xf>
    <xf numFmtId="1" fontId="4" fillId="14" borderId="51" xfId="0" applyNumberFormat="1" applyFont="1" applyFill="1" applyBorder="1" applyAlignment="1" applyProtection="1">
      <alignment horizontal="center"/>
      <protection locked="0"/>
    </xf>
    <xf numFmtId="2" fontId="4" fillId="14" borderId="52" xfId="0" applyNumberFormat="1" applyFont="1" applyFill="1" applyBorder="1" applyAlignment="1" applyProtection="1">
      <alignment horizontal="center"/>
      <protection locked="0"/>
    </xf>
    <xf numFmtId="2" fontId="4" fillId="14" borderId="9" xfId="0" applyNumberFormat="1" applyFont="1" applyFill="1" applyBorder="1" applyAlignment="1" applyProtection="1">
      <alignment horizontal="center"/>
      <protection locked="0"/>
    </xf>
    <xf numFmtId="0" fontId="4" fillId="14" borderId="46" xfId="0" applyFont="1" applyFill="1" applyBorder="1" applyAlignment="1" applyProtection="1">
      <alignment horizontal="center"/>
      <protection locked="0"/>
    </xf>
    <xf numFmtId="1" fontId="4" fillId="14" borderId="47" xfId="0" applyNumberFormat="1" applyFont="1" applyFill="1" applyBorder="1" applyAlignment="1" applyProtection="1">
      <alignment horizontal="center"/>
      <protection locked="0"/>
    </xf>
    <xf numFmtId="2" fontId="4" fillId="14" borderId="26" xfId="0" applyNumberFormat="1" applyFont="1" applyFill="1" applyBorder="1" applyAlignment="1" applyProtection="1">
      <alignment horizontal="center"/>
      <protection locked="0"/>
    </xf>
    <xf numFmtId="2" fontId="4" fillId="14" borderId="8" xfId="0" applyNumberFormat="1" applyFont="1" applyFill="1" applyBorder="1" applyAlignment="1" applyProtection="1">
      <alignment horizontal="center"/>
      <protection locked="0"/>
    </xf>
    <xf numFmtId="0" fontId="4" fillId="14" borderId="48" xfId="0" applyFont="1" applyFill="1" applyBorder="1" applyAlignment="1" applyProtection="1">
      <alignment horizontal="center"/>
      <protection locked="0"/>
    </xf>
    <xf numFmtId="1" fontId="4" fillId="14" borderId="55" xfId="0" applyNumberFormat="1" applyFont="1" applyFill="1" applyBorder="1" applyAlignment="1" applyProtection="1">
      <alignment horizontal="center"/>
      <protection locked="0"/>
    </xf>
    <xf numFmtId="2" fontId="4" fillId="14" borderId="56" xfId="0" applyNumberFormat="1" applyFont="1" applyFill="1" applyBorder="1" applyAlignment="1" applyProtection="1">
      <alignment horizontal="center"/>
      <protection locked="0"/>
    </xf>
    <xf numFmtId="2" fontId="4" fillId="14" borderId="58" xfId="0" applyNumberFormat="1" applyFont="1" applyFill="1" applyBorder="1" applyAlignment="1" applyProtection="1">
      <alignment horizontal="center"/>
      <protection locked="0"/>
    </xf>
    <xf numFmtId="9" fontId="0" fillId="2" borderId="0" xfId="0" applyNumberFormat="1" applyFill="1"/>
    <xf numFmtId="0" fontId="6" fillId="2" borderId="0" xfId="0" applyFont="1" applyFill="1" applyAlignment="1">
      <alignment horizontal="left"/>
    </xf>
    <xf numFmtId="9" fontId="5" fillId="11" borderId="6" xfId="5" applyFont="1" applyFill="1" applyBorder="1" applyAlignment="1" applyProtection="1">
      <alignment horizontal="center"/>
      <protection locked="0"/>
    </xf>
    <xf numFmtId="0" fontId="2" fillId="2" borderId="4" xfId="0" applyFont="1" applyFill="1" applyBorder="1"/>
    <xf numFmtId="0" fontId="2" fillId="2" borderId="47" xfId="0" applyFont="1" applyFill="1" applyBorder="1"/>
    <xf numFmtId="0" fontId="0" fillId="2" borderId="2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2" fontId="3" fillId="9" borderId="26" xfId="0" applyNumberFormat="1" applyFont="1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1" fontId="3" fillId="10" borderId="31" xfId="0" applyNumberFormat="1" applyFont="1" applyFill="1" applyBorder="1" applyAlignment="1">
      <alignment horizontal="center"/>
    </xf>
    <xf numFmtId="2" fontId="3" fillId="9" borderId="56" xfId="0" applyNumberFormat="1" applyFont="1" applyFill="1" applyBorder="1" applyAlignment="1">
      <alignment horizontal="center"/>
    </xf>
    <xf numFmtId="2" fontId="3" fillId="9" borderId="8" xfId="0" applyNumberFormat="1" applyFont="1" applyFill="1" applyBorder="1" applyAlignment="1">
      <alignment horizontal="center"/>
    </xf>
    <xf numFmtId="2" fontId="3" fillId="9" borderId="58" xfId="0" applyNumberFormat="1" applyFont="1" applyFill="1" applyBorder="1" applyAlignment="1">
      <alignment horizontal="center"/>
    </xf>
    <xf numFmtId="2" fontId="3" fillId="9" borderId="3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9" borderId="0" xfId="0" applyFont="1" applyFill="1" applyProtection="1">
      <protection locked="0"/>
    </xf>
    <xf numFmtId="0" fontId="3" fillId="9" borderId="0" xfId="0" applyFont="1" applyFill="1" applyAlignment="1" applyProtection="1">
      <alignment horizontal="center"/>
      <protection locked="0"/>
    </xf>
    <xf numFmtId="0" fontId="39" fillId="9" borderId="0" xfId="0" applyFont="1" applyFill="1"/>
    <xf numFmtId="1" fontId="4" fillId="9" borderId="8" xfId="0" applyNumberFormat="1" applyFont="1" applyFill="1" applyBorder="1" applyAlignment="1">
      <alignment horizontal="center"/>
    </xf>
    <xf numFmtId="1" fontId="4" fillId="9" borderId="6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9" fontId="4" fillId="2" borderId="0" xfId="5" applyFont="1" applyFill="1" applyBorder="1" applyAlignment="1">
      <alignment horizontal="center"/>
    </xf>
    <xf numFmtId="0" fontId="32" fillId="15" borderId="0" xfId="2" applyFont="1" applyFill="1" applyBorder="1" applyAlignment="1" applyProtection="1"/>
    <xf numFmtId="0" fontId="0" fillId="15" borderId="0" xfId="0" applyFill="1"/>
    <xf numFmtId="0" fontId="11" fillId="15" borderId="0" xfId="0" applyFont="1" applyFill="1"/>
    <xf numFmtId="0" fontId="11" fillId="15" borderId="19" xfId="0" applyFont="1" applyFill="1" applyBorder="1"/>
    <xf numFmtId="0" fontId="25" fillId="15" borderId="0" xfId="0" applyFont="1" applyFill="1"/>
    <xf numFmtId="0" fontId="25" fillId="15" borderId="19" xfId="0" applyFont="1" applyFill="1" applyBorder="1"/>
    <xf numFmtId="0" fontId="24" fillId="15" borderId="0" xfId="2" applyFont="1" applyFill="1" applyBorder="1" applyAlignment="1" applyProtection="1"/>
    <xf numFmtId="0" fontId="24" fillId="15" borderId="19" xfId="2" applyFont="1" applyFill="1" applyBorder="1" applyAlignment="1" applyProtection="1"/>
    <xf numFmtId="0" fontId="4" fillId="15" borderId="0" xfId="0" applyFont="1" applyFill="1"/>
    <xf numFmtId="0" fontId="34" fillId="15" borderId="0" xfId="0" applyFont="1" applyFill="1"/>
    <xf numFmtId="0" fontId="0" fillId="15" borderId="19" xfId="0" applyFill="1" applyBorder="1"/>
    <xf numFmtId="0" fontId="0" fillId="15" borderId="7" xfId="0" applyFill="1" applyBorder="1"/>
    <xf numFmtId="0" fontId="0" fillId="15" borderId="5" xfId="0" applyFill="1" applyBorder="1"/>
    <xf numFmtId="0" fontId="4" fillId="15" borderId="2" xfId="0" applyFont="1" applyFill="1" applyBorder="1"/>
    <xf numFmtId="0" fontId="4" fillId="15" borderId="1" xfId="0" applyFont="1" applyFill="1" applyBorder="1"/>
    <xf numFmtId="0" fontId="4" fillId="15" borderId="3" xfId="0" applyFont="1" applyFill="1" applyBorder="1"/>
    <xf numFmtId="0" fontId="4" fillId="15" borderId="18" xfId="0" applyFont="1" applyFill="1" applyBorder="1"/>
    <xf numFmtId="0" fontId="4" fillId="15" borderId="19" xfId="0" applyFont="1" applyFill="1" applyBorder="1"/>
    <xf numFmtId="0" fontId="4" fillId="15" borderId="9" xfId="0" applyFont="1" applyFill="1" applyBorder="1"/>
    <xf numFmtId="0" fontId="4" fillId="15" borderId="7" xfId="0" applyFont="1" applyFill="1" applyBorder="1"/>
    <xf numFmtId="0" fontId="4" fillId="15" borderId="5" xfId="0" applyFont="1" applyFill="1" applyBorder="1"/>
    <xf numFmtId="0" fontId="5" fillId="15" borderId="2" xfId="0" applyFont="1" applyFill="1" applyBorder="1"/>
    <xf numFmtId="0" fontId="5" fillId="15" borderId="1" xfId="0" applyFont="1" applyFill="1" applyBorder="1"/>
    <xf numFmtId="0" fontId="5" fillId="15" borderId="3" xfId="0" applyFont="1" applyFill="1" applyBorder="1"/>
    <xf numFmtId="0" fontId="5" fillId="15" borderId="18" xfId="0" applyFont="1" applyFill="1" applyBorder="1"/>
    <xf numFmtId="0" fontId="5" fillId="15" borderId="0" xfId="0" applyFont="1" applyFill="1"/>
    <xf numFmtId="0" fontId="5" fillId="15" borderId="19" xfId="0" applyFont="1" applyFill="1" applyBorder="1"/>
    <xf numFmtId="0" fontId="5" fillId="15" borderId="9" xfId="0" applyFont="1" applyFill="1" applyBorder="1" applyProtection="1">
      <protection hidden="1"/>
    </xf>
    <xf numFmtId="0" fontId="5" fillId="15" borderId="7" xfId="0" applyFont="1" applyFill="1" applyBorder="1" applyProtection="1">
      <protection hidden="1"/>
    </xf>
    <xf numFmtId="0" fontId="5" fillId="15" borderId="5" xfId="0" applyFont="1" applyFill="1" applyBorder="1" applyProtection="1">
      <protection hidden="1"/>
    </xf>
    <xf numFmtId="0" fontId="0" fillId="15" borderId="0" xfId="0" applyFill="1" applyProtection="1">
      <protection hidden="1"/>
    </xf>
    <xf numFmtId="0" fontId="0" fillId="15" borderId="0" xfId="0" applyFill="1" applyAlignment="1" applyProtection="1">
      <alignment horizontal="center"/>
      <protection hidden="1"/>
    </xf>
    <xf numFmtId="0" fontId="0" fillId="15" borderId="19" xfId="0" applyFill="1" applyBorder="1" applyAlignment="1" applyProtection="1">
      <alignment horizontal="center"/>
      <protection hidden="1"/>
    </xf>
    <xf numFmtId="0" fontId="12" fillId="15" borderId="0" xfId="0" applyFont="1" applyFill="1" applyAlignment="1">
      <alignment horizontal="center"/>
    </xf>
    <xf numFmtId="0" fontId="5" fillId="9" borderId="1" xfId="0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0" fontId="5" fillId="9" borderId="7" xfId="0" applyFont="1" applyFill="1" applyBorder="1" applyAlignment="1">
      <alignment vertical="center"/>
    </xf>
    <xf numFmtId="0" fontId="5" fillId="9" borderId="22" xfId="0" applyFont="1" applyFill="1" applyBorder="1" applyAlignment="1">
      <alignment vertical="center"/>
    </xf>
    <xf numFmtId="1" fontId="0" fillId="9" borderId="4" xfId="0" applyNumberFormat="1" applyFill="1" applyBorder="1"/>
    <xf numFmtId="0" fontId="4" fillId="2" borderId="17" xfId="0" applyFont="1" applyFill="1" applyBorder="1" applyAlignment="1">
      <alignment horizontal="center"/>
    </xf>
    <xf numFmtId="0" fontId="0" fillId="9" borderId="18" xfId="0" applyFill="1" applyBorder="1"/>
    <xf numFmtId="0" fontId="5" fillId="2" borderId="2" xfId="0" applyFont="1" applyFill="1" applyBorder="1"/>
    <xf numFmtId="0" fontId="3" fillId="2" borderId="17" xfId="0" applyFont="1" applyFill="1" applyBorder="1"/>
    <xf numFmtId="0" fontId="0" fillId="9" borderId="9" xfId="0" applyFill="1" applyBorder="1"/>
    <xf numFmtId="0" fontId="5" fillId="9" borderId="7" xfId="0" applyFont="1" applyFill="1" applyBorder="1" applyAlignment="1">
      <alignment horizontal="center"/>
    </xf>
    <xf numFmtId="0" fontId="0" fillId="9" borderId="5" xfId="0" applyFill="1" applyBorder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3" fontId="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3" fontId="13" fillId="9" borderId="0" xfId="0" applyNumberFormat="1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" fontId="3" fillId="10" borderId="6" xfId="0" applyNumberFormat="1" applyFont="1" applyFill="1" applyBorder="1" applyAlignment="1">
      <alignment horizontal="center" vertical="center"/>
    </xf>
    <xf numFmtId="2" fontId="3" fillId="9" borderId="6" xfId="0" applyNumberFormat="1" applyFon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3" fontId="5" fillId="9" borderId="0" xfId="0" applyNumberFormat="1" applyFont="1" applyFill="1" applyAlignment="1">
      <alignment horizontal="center" vertical="center"/>
    </xf>
    <xf numFmtId="0" fontId="5" fillId="9" borderId="7" xfId="0" applyFont="1" applyFill="1" applyBorder="1"/>
    <xf numFmtId="0" fontId="0" fillId="9" borderId="6" xfId="0" applyFill="1" applyBorder="1" applyAlignment="1">
      <alignment horizontal="right"/>
    </xf>
    <xf numFmtId="2" fontId="3" fillId="2" borderId="6" xfId="0" applyNumberFormat="1" applyFont="1" applyFill="1" applyBorder="1" applyAlignment="1">
      <alignment horizontal="center"/>
    </xf>
    <xf numFmtId="2" fontId="5" fillId="9" borderId="22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11" borderId="6" xfId="0" applyFill="1" applyBorder="1" applyAlignment="1" applyProtection="1">
      <alignment horizontal="center"/>
      <protection locked="0"/>
    </xf>
    <xf numFmtId="0" fontId="4" fillId="9" borderId="6" xfId="0" applyFont="1" applyFill="1" applyBorder="1" applyAlignment="1">
      <alignment horizontal="right"/>
    </xf>
    <xf numFmtId="167" fontId="5" fillId="2" borderId="22" xfId="0" applyNumberFormat="1" applyFont="1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3" fillId="9" borderId="20" xfId="0" applyNumberFormat="1" applyFont="1" applyFill="1" applyBorder="1" applyAlignment="1">
      <alignment horizontal="center"/>
    </xf>
    <xf numFmtId="2" fontId="3" fillId="9" borderId="39" xfId="0" applyNumberFormat="1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1" fontId="0" fillId="10" borderId="31" xfId="0" applyNumberFormat="1" applyFill="1" applyBorder="1" applyAlignment="1">
      <alignment horizontal="center"/>
    </xf>
    <xf numFmtId="2" fontId="5" fillId="2" borderId="22" xfId="0" applyNumberFormat="1" applyFont="1" applyFill="1" applyBorder="1" applyAlignment="1">
      <alignment horizontal="center" vertical="center"/>
    </xf>
    <xf numFmtId="173" fontId="3" fillId="2" borderId="6" xfId="0" applyNumberFormat="1" applyFont="1" applyFill="1" applyBorder="1" applyAlignment="1">
      <alignment horizontal="center"/>
    </xf>
    <xf numFmtId="2" fontId="5" fillId="9" borderId="22" xfId="3" applyNumberFormat="1" applyFont="1" applyFill="1" applyBorder="1" applyAlignment="1">
      <alignment horizontal="center"/>
    </xf>
    <xf numFmtId="173" fontId="3" fillId="9" borderId="22" xfId="0" applyNumberFormat="1" applyFont="1" applyFill="1" applyBorder="1" applyAlignment="1">
      <alignment horizontal="center" vertical="center"/>
    </xf>
    <xf numFmtId="173" fontId="3" fillId="2" borderId="22" xfId="0" applyNumberFormat="1" applyFont="1" applyFill="1" applyBorder="1" applyAlignment="1">
      <alignment horizontal="center" vertical="center"/>
    </xf>
    <xf numFmtId="173" fontId="3" fillId="2" borderId="22" xfId="0" applyNumberFormat="1" applyFont="1" applyFill="1" applyBorder="1"/>
    <xf numFmtId="173" fontId="3" fillId="9" borderId="22" xfId="0" applyNumberFormat="1" applyFont="1" applyFill="1" applyBorder="1" applyAlignment="1">
      <alignment horizontal="center"/>
    </xf>
    <xf numFmtId="168" fontId="3" fillId="2" borderId="35" xfId="0" applyNumberFormat="1" applyFont="1" applyFill="1" applyBorder="1" applyAlignment="1">
      <alignment horizontal="center"/>
    </xf>
    <xf numFmtId="173" fontId="3" fillId="2" borderId="35" xfId="0" applyNumberFormat="1" applyFont="1" applyFill="1" applyBorder="1" applyAlignment="1">
      <alignment horizontal="center"/>
    </xf>
    <xf numFmtId="173" fontId="3" fillId="9" borderId="35" xfId="0" applyNumberFormat="1" applyFont="1" applyFill="1" applyBorder="1" applyAlignment="1">
      <alignment horizontal="center"/>
    </xf>
    <xf numFmtId="173" fontId="3" fillId="2" borderId="35" xfId="3" applyNumberFormat="1" applyFont="1" applyFill="1" applyBorder="1" applyAlignment="1">
      <alignment horizontal="center"/>
    </xf>
    <xf numFmtId="173" fontId="3" fillId="9" borderId="32" xfId="0" applyNumberFormat="1" applyFont="1" applyFill="1" applyBorder="1" applyAlignment="1">
      <alignment horizontal="center"/>
    </xf>
    <xf numFmtId="173" fontId="3" fillId="2" borderId="22" xfId="0" applyNumberFormat="1" applyFont="1" applyFill="1" applyBorder="1" applyAlignment="1">
      <alignment horizontal="center"/>
    </xf>
    <xf numFmtId="2" fontId="5" fillId="2" borderId="22" xfId="0" applyNumberFormat="1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 vertical="center"/>
    </xf>
    <xf numFmtId="2" fontId="0" fillId="2" borderId="20" xfId="0" applyNumberFormat="1" applyFill="1" applyBorder="1" applyAlignment="1">
      <alignment vertical="center"/>
    </xf>
    <xf numFmtId="0" fontId="2" fillId="0" borderId="6" xfId="0" applyFont="1" applyBorder="1" applyAlignment="1">
      <alignment horizontal="center"/>
    </xf>
    <xf numFmtId="2" fontId="4" fillId="0" borderId="8" xfId="0" applyNumberFormat="1" applyFont="1" applyBorder="1"/>
    <xf numFmtId="2" fontId="0" fillId="0" borderId="18" xfId="0" applyNumberFormat="1" applyBorder="1"/>
    <xf numFmtId="2" fontId="0" fillId="0" borderId="8" xfId="0" applyNumberFormat="1" applyBorder="1"/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167" fontId="4" fillId="2" borderId="6" xfId="0" applyNumberFormat="1" applyFont="1" applyFill="1" applyBorder="1" applyAlignment="1">
      <alignment horizontal="center" wrapText="1"/>
    </xf>
    <xf numFmtId="167" fontId="0" fillId="2" borderId="6" xfId="0" applyNumberForma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9" borderId="6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63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9" fontId="0" fillId="11" borderId="8" xfId="0" applyNumberFormat="1" applyFill="1" applyBorder="1" applyAlignment="1" applyProtection="1">
      <alignment horizontal="center" wrapText="1"/>
      <protection locked="0"/>
    </xf>
    <xf numFmtId="49" fontId="0" fillId="11" borderId="17" xfId="0" applyNumberFormat="1" applyFill="1" applyBorder="1" applyAlignment="1" applyProtection="1">
      <alignment horizontal="center" wrapText="1"/>
      <protection locked="0"/>
    </xf>
    <xf numFmtId="49" fontId="0" fillId="11" borderId="4" xfId="0" applyNumberFormat="1" applyFill="1" applyBorder="1" applyAlignment="1" applyProtection="1">
      <alignment horizontal="center" wrapText="1"/>
      <protection locked="0"/>
    </xf>
    <xf numFmtId="49" fontId="6" fillId="11" borderId="7" xfId="0" applyNumberFormat="1" applyFont="1" applyFill="1" applyBorder="1" applyAlignment="1" applyProtection="1">
      <alignment horizontal="center"/>
      <protection locked="0"/>
    </xf>
    <xf numFmtId="49" fontId="9" fillId="11" borderId="7" xfId="0" applyNumberFormat="1" applyFont="1" applyFill="1" applyBorder="1" applyAlignment="1" applyProtection="1">
      <alignment horizontal="center"/>
      <protection locked="0"/>
    </xf>
    <xf numFmtId="0" fontId="9" fillId="11" borderId="7" xfId="0" applyFont="1" applyFill="1" applyBorder="1" applyAlignment="1" applyProtection="1">
      <alignment horizontal="center"/>
      <protection locked="0"/>
    </xf>
    <xf numFmtId="0" fontId="0" fillId="9" borderId="6" xfId="0" applyFill="1" applyBorder="1" applyAlignment="1">
      <alignment horizontal="center"/>
    </xf>
    <xf numFmtId="0" fontId="4" fillId="2" borderId="6" xfId="3" applyFill="1" applyBorder="1" applyAlignment="1">
      <alignment horizontal="center"/>
    </xf>
    <xf numFmtId="49" fontId="0" fillId="11" borderId="7" xfId="0" applyNumberFormat="1" applyFill="1" applyBorder="1" applyAlignment="1" applyProtection="1">
      <alignment horizontal="center"/>
      <protection locked="0"/>
    </xf>
    <xf numFmtId="0" fontId="4" fillId="9" borderId="6" xfId="3" applyFill="1" applyBorder="1" applyAlignment="1">
      <alignment horizontal="center"/>
    </xf>
    <xf numFmtId="167" fontId="0" fillId="2" borderId="17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17" xfId="0" applyFill="1" applyBorder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4" fillId="9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61" xfId="0" applyFont="1" applyFill="1" applyBorder="1" applyAlignment="1">
      <alignment horizontal="center" wrapText="1"/>
    </xf>
    <xf numFmtId="0" fontId="4" fillId="2" borderId="62" xfId="0" applyFont="1" applyFill="1" applyBorder="1" applyAlignment="1">
      <alignment horizontal="center" wrapText="1"/>
    </xf>
    <xf numFmtId="2" fontId="5" fillId="2" borderId="7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9" fontId="5" fillId="2" borderId="6" xfId="0" applyNumberFormat="1" applyFont="1" applyFill="1" applyBorder="1" applyAlignment="1">
      <alignment horizontal="center"/>
    </xf>
    <xf numFmtId="9" fontId="5" fillId="2" borderId="8" xfId="0" applyNumberFormat="1" applyFont="1" applyFill="1" applyBorder="1" applyAlignment="1">
      <alignment horizontal="center"/>
    </xf>
    <xf numFmtId="49" fontId="4" fillId="11" borderId="8" xfId="0" applyNumberFormat="1" applyFont="1" applyFill="1" applyBorder="1" applyAlignment="1" applyProtection="1">
      <alignment horizontal="center" wrapText="1"/>
      <protection locked="0"/>
    </xf>
    <xf numFmtId="49" fontId="3" fillId="11" borderId="8" xfId="0" applyNumberFormat="1" applyFont="1" applyFill="1" applyBorder="1" applyAlignment="1" applyProtection="1">
      <alignment horizontal="center"/>
      <protection locked="0"/>
    </xf>
    <xf numFmtId="49" fontId="3" fillId="11" borderId="17" xfId="0" applyNumberFormat="1" applyFont="1" applyFill="1" applyBorder="1" applyAlignment="1" applyProtection="1">
      <alignment horizontal="center"/>
      <protection locked="0"/>
    </xf>
    <xf numFmtId="49" fontId="3" fillId="11" borderId="4" xfId="0" applyNumberFormat="1" applyFont="1" applyFill="1" applyBorder="1" applyAlignment="1" applyProtection="1">
      <alignment horizontal="center"/>
      <protection locked="0"/>
    </xf>
    <xf numFmtId="9" fontId="5" fillId="2" borderId="4" xfId="0" applyNumberFormat="1" applyFont="1" applyFill="1" applyBorder="1" applyAlignment="1">
      <alignment horizontal="center"/>
    </xf>
    <xf numFmtId="49" fontId="3" fillId="11" borderId="8" xfId="0" applyNumberFormat="1" applyFont="1" applyFill="1" applyBorder="1" applyAlignment="1" applyProtection="1">
      <alignment horizontal="center" wrapText="1"/>
      <protection locked="0"/>
    </xf>
    <xf numFmtId="49" fontId="3" fillId="11" borderId="17" xfId="0" applyNumberFormat="1" applyFont="1" applyFill="1" applyBorder="1" applyAlignment="1" applyProtection="1">
      <alignment horizontal="center" wrapText="1"/>
      <protection locked="0"/>
    </xf>
    <xf numFmtId="49" fontId="3" fillId="11" borderId="4" xfId="0" applyNumberFormat="1" applyFont="1" applyFill="1" applyBorder="1" applyAlignment="1" applyProtection="1">
      <alignment horizontal="center" wrapText="1"/>
      <protection locked="0"/>
    </xf>
    <xf numFmtId="2" fontId="5" fillId="2" borderId="0" xfId="0" applyNumberFormat="1" applyFont="1" applyFill="1" applyAlignment="1">
      <alignment horizontal="right"/>
    </xf>
    <xf numFmtId="0" fontId="33" fillId="15" borderId="0" xfId="2" applyFont="1" applyFill="1" applyBorder="1" applyAlignment="1" applyProtection="1">
      <alignment horizontal="left"/>
    </xf>
    <xf numFmtId="0" fontId="6" fillId="11" borderId="7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2" fontId="5" fillId="2" borderId="17" xfId="0" applyNumberFormat="1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center"/>
    </xf>
    <xf numFmtId="0" fontId="18" fillId="9" borderId="0" xfId="2" applyFont="1" applyFill="1" applyAlignment="1" applyProtection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3" fillId="9" borderId="8" xfId="0" applyNumberFormat="1" applyFont="1" applyFill="1" applyBorder="1" applyAlignment="1">
      <alignment horizontal="left" wrapText="1"/>
    </xf>
    <xf numFmtId="1" fontId="3" fillId="9" borderId="17" xfId="0" applyNumberFormat="1" applyFont="1" applyFill="1" applyBorder="1" applyAlignment="1">
      <alignment horizontal="left" wrapText="1"/>
    </xf>
    <xf numFmtId="1" fontId="3" fillId="9" borderId="4" xfId="0" applyNumberFormat="1" applyFont="1" applyFill="1" applyBorder="1" applyAlignment="1">
      <alignment horizontal="left" wrapText="1"/>
    </xf>
    <xf numFmtId="0" fontId="4" fillId="7" borderId="59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8" borderId="59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14" borderId="33" xfId="0" applyFont="1" applyFill="1" applyBorder="1" applyAlignment="1">
      <alignment horizontal="left" wrapText="1"/>
    </xf>
    <xf numFmtId="0" fontId="13" fillId="14" borderId="57" xfId="0" applyFont="1" applyFill="1" applyBorder="1" applyAlignment="1">
      <alignment horizontal="left" wrapText="1"/>
    </xf>
    <xf numFmtId="0" fontId="13" fillId="14" borderId="34" xfId="0" applyFont="1" applyFill="1" applyBorder="1" applyAlignment="1">
      <alignment horizontal="left" wrapText="1"/>
    </xf>
    <xf numFmtId="0" fontId="13" fillId="13" borderId="33" xfId="0" applyFont="1" applyFill="1" applyBorder="1" applyAlignment="1">
      <alignment horizontal="left" wrapText="1"/>
    </xf>
    <xf numFmtId="0" fontId="13" fillId="13" borderId="57" xfId="0" applyFont="1" applyFill="1" applyBorder="1" applyAlignment="1">
      <alignment horizontal="left" wrapText="1"/>
    </xf>
    <xf numFmtId="0" fontId="13" fillId="13" borderId="34" xfId="0" applyFont="1" applyFill="1" applyBorder="1" applyAlignment="1">
      <alignment horizontal="left" wrapText="1"/>
    </xf>
    <xf numFmtId="0" fontId="4" fillId="9" borderId="33" xfId="2" applyNumberFormat="1" applyFont="1" applyFill="1" applyBorder="1" applyAlignment="1" applyProtection="1">
      <alignment horizontal="center" wrapText="1"/>
    </xf>
    <xf numFmtId="0" fontId="4" fillId="9" borderId="57" xfId="2" applyNumberFormat="1" applyFont="1" applyFill="1" applyBorder="1" applyAlignment="1" applyProtection="1">
      <alignment horizontal="center" wrapText="1"/>
    </xf>
    <xf numFmtId="0" fontId="4" fillId="9" borderId="60" xfId="2" applyNumberFormat="1" applyFont="1" applyFill="1" applyBorder="1" applyAlignment="1" applyProtection="1">
      <alignment horizontal="center" wrapText="1"/>
    </xf>
    <xf numFmtId="0" fontId="4" fillId="9" borderId="40" xfId="2" applyNumberFormat="1" applyFont="1" applyFill="1" applyBorder="1" applyAlignment="1" applyProtection="1">
      <alignment horizontal="center"/>
    </xf>
    <xf numFmtId="0" fontId="4" fillId="9" borderId="61" xfId="2" applyNumberFormat="1" applyFont="1" applyFill="1" applyBorder="1" applyAlignment="1" applyProtection="1">
      <alignment horizontal="center"/>
    </xf>
    <xf numFmtId="0" fontId="7" fillId="9" borderId="0" xfId="0" applyFont="1" applyFill="1" applyAlignment="1">
      <alignment horizontal="center"/>
    </xf>
    <xf numFmtId="2" fontId="9" fillId="9" borderId="22" xfId="0" applyNumberFormat="1" applyFont="1" applyFill="1" applyBorder="1"/>
    <xf numFmtId="49" fontId="28" fillId="9" borderId="7" xfId="0" applyNumberFormat="1" applyFont="1" applyFill="1" applyBorder="1" applyAlignment="1">
      <alignment horizontal="left"/>
    </xf>
    <xf numFmtId="0" fontId="4" fillId="9" borderId="7" xfId="0" applyFont="1" applyFill="1" applyBorder="1" applyAlignment="1">
      <alignment horizontal="left"/>
    </xf>
    <xf numFmtId="0" fontId="4" fillId="11" borderId="8" xfId="2" applyFont="1" applyFill="1" applyBorder="1" applyAlignment="1" applyProtection="1">
      <alignment horizontal="center"/>
      <protection locked="0"/>
    </xf>
    <xf numFmtId="0" fontId="4" fillId="11" borderId="17" xfId="2" applyFont="1" applyFill="1" applyBorder="1" applyAlignment="1" applyProtection="1">
      <alignment horizontal="center"/>
      <protection locked="0"/>
    </xf>
    <xf numFmtId="0" fontId="4" fillId="11" borderId="4" xfId="2" applyFont="1" applyFill="1" applyBorder="1" applyAlignment="1" applyProtection="1">
      <alignment horizontal="center"/>
      <protection locked="0"/>
    </xf>
    <xf numFmtId="0" fontId="5" fillId="10" borderId="7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left" wrapText="1"/>
    </xf>
    <xf numFmtId="0" fontId="3" fillId="9" borderId="11" xfId="0" applyFont="1" applyFill="1" applyBorder="1" applyAlignment="1">
      <alignment horizontal="left" wrapText="1"/>
    </xf>
    <xf numFmtId="2" fontId="13" fillId="10" borderId="7" xfId="0" applyNumberFormat="1" applyFont="1" applyFill="1" applyBorder="1" applyAlignment="1">
      <alignment horizontal="center"/>
    </xf>
    <xf numFmtId="0" fontId="17" fillId="9" borderId="0" xfId="2" applyFill="1" applyAlignment="1" applyProtection="1">
      <alignment horizontal="center" wrapText="1"/>
    </xf>
    <xf numFmtId="2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2" fontId="5" fillId="10" borderId="17" xfId="0" applyNumberFormat="1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5" fillId="13" borderId="8" xfId="2" applyNumberFormat="1" applyFont="1" applyFill="1" applyBorder="1" applyAlignment="1" applyProtection="1">
      <alignment horizontal="left" wrapText="1"/>
    </xf>
    <xf numFmtId="0" fontId="4" fillId="13" borderId="17" xfId="2" applyNumberFormat="1" applyFont="1" applyFill="1" applyBorder="1" applyAlignment="1" applyProtection="1">
      <alignment horizontal="left" wrapText="1"/>
    </xf>
    <xf numFmtId="0" fontId="4" fillId="13" borderId="4" xfId="2" applyNumberFormat="1" applyFont="1" applyFill="1" applyBorder="1" applyAlignment="1" applyProtection="1">
      <alignment horizontal="left" wrapText="1"/>
    </xf>
    <xf numFmtId="0" fontId="5" fillId="14" borderId="8" xfId="2" applyNumberFormat="1" applyFont="1" applyFill="1" applyBorder="1" applyAlignment="1" applyProtection="1">
      <alignment horizontal="left" wrapText="1"/>
    </xf>
    <xf numFmtId="0" fontId="5" fillId="14" borderId="17" xfId="2" applyNumberFormat="1" applyFont="1" applyFill="1" applyBorder="1" applyAlignment="1" applyProtection="1">
      <alignment horizontal="left" wrapText="1"/>
    </xf>
    <xf numFmtId="0" fontId="5" fillId="14" borderId="4" xfId="2" applyNumberFormat="1" applyFont="1" applyFill="1" applyBorder="1" applyAlignment="1" applyProtection="1">
      <alignment horizontal="left" wrapText="1"/>
    </xf>
  </cellXfs>
  <cellStyles count="6">
    <cellStyle name="Erotin 2" xfId="1" xr:uid="{00000000-0005-0000-0000-000000000000}"/>
    <cellStyle name="Hyperlinkki" xfId="2" builtinId="8"/>
    <cellStyle name="Normaali" xfId="0" builtinId="0"/>
    <cellStyle name="Normaali 2 2" xfId="3" xr:uid="{00000000-0005-0000-0000-000003000000}"/>
    <cellStyle name="Pilkku [0]" xfId="4" builtinId="6"/>
    <cellStyle name="Prosenttia" xfId="5" builtinId="5"/>
  </cellStyles>
  <dxfs count="0"/>
  <tableStyles count="0" defaultTableStyle="TableStyleMedium9" defaultPivotStyle="PivotStyleLight16"/>
  <colors>
    <mruColors>
      <color rgb="FFCCFFCC"/>
      <color rgb="FFF97439"/>
      <color rgb="FFF988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6</xdr:row>
      <xdr:rowOff>0</xdr:rowOff>
    </xdr:from>
    <xdr:to>
      <xdr:col>8</xdr:col>
      <xdr:colOff>200025</xdr:colOff>
      <xdr:row>6</xdr:row>
      <xdr:rowOff>38100</xdr:rowOff>
    </xdr:to>
    <xdr:sp macro="" textlink="">
      <xdr:nvSpPr>
        <xdr:cNvPr id="27160" name="Text Box 20">
          <a:extLst>
            <a:ext uri="{FF2B5EF4-FFF2-40B4-BE49-F238E27FC236}">
              <a16:creationId xmlns:a16="http://schemas.microsoft.com/office/drawing/2014/main" id="{E981EB2E-6CC0-48E6-9EB8-F9B3E41B645C}"/>
            </a:ext>
          </a:extLst>
        </xdr:cNvPr>
        <xdr:cNvSpPr txBox="1">
          <a:spLocks noChangeArrowheads="1"/>
        </xdr:cNvSpPr>
      </xdr:nvSpPr>
      <xdr:spPr bwMode="auto">
        <a:xfrm>
          <a:off x="3886200" y="12858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226695</xdr:colOff>
      <xdr:row>0</xdr:row>
      <xdr:rowOff>104775</xdr:rowOff>
    </xdr:from>
    <xdr:to>
      <xdr:col>16</xdr:col>
      <xdr:colOff>277746</xdr:colOff>
      <xdr:row>0</xdr:row>
      <xdr:rowOff>140589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137B2745-8372-4A75-99B4-1C82EA1E1502}"/>
            </a:ext>
          </a:extLst>
        </xdr:cNvPr>
        <xdr:cNvSpPr txBox="1">
          <a:spLocks noChangeArrowheads="1"/>
        </xdr:cNvSpPr>
      </xdr:nvSpPr>
      <xdr:spPr bwMode="auto">
        <a:xfrm>
          <a:off x="3143250" y="104775"/>
          <a:ext cx="49244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77724" rIns="0" bIns="0" anchor="t" upright="1"/>
        <a:lstStyle/>
        <a:p>
          <a:pPr algn="l" rtl="0">
            <a:defRPr sz="1000"/>
          </a:pPr>
          <a:endParaRPr lang="fi-FI" sz="3600" b="1" i="0" strike="noStrike">
            <a:solidFill>
              <a:srgbClr val="000000"/>
            </a:solidFill>
            <a:latin typeface="Franklin Gothic Medium Cond"/>
          </a:endParaRPr>
        </a:p>
        <a:p>
          <a:pPr algn="l" rtl="0">
            <a:defRPr sz="1000"/>
          </a:pPr>
          <a:r>
            <a:rPr lang="fi-FI" sz="3600" b="1" i="0" strike="noStrike">
              <a:solidFill>
                <a:srgbClr val="000000"/>
              </a:solidFill>
              <a:latin typeface="Franklin Gothic Medium Cond"/>
            </a:rPr>
            <a:t>RAKENNUSLIITTO </a:t>
          </a:r>
          <a:endParaRPr lang="fi-FI" sz="2200" b="1" i="0" strike="noStrike">
            <a:solidFill>
              <a:srgbClr val="000000"/>
            </a:solidFill>
            <a:latin typeface="Franklin Gothic Medium Cond"/>
          </a:endParaRPr>
        </a:p>
        <a:p>
          <a:pPr algn="l" rtl="0">
            <a:defRPr sz="1000"/>
          </a:pPr>
          <a:r>
            <a:rPr lang="fi-FI" sz="2200" b="1" i="0" strike="noStrike">
              <a:solidFill>
                <a:srgbClr val="000000"/>
              </a:solidFill>
              <a:latin typeface="Franklin Gothic Medium Cond"/>
            </a:rPr>
            <a:t>ilmastointialan urakkahinnoittelun mittauspöytäkirja</a:t>
          </a:r>
        </a:p>
        <a:p>
          <a:pPr algn="l" rtl="0">
            <a:defRPr sz="1000"/>
          </a:pPr>
          <a:r>
            <a:rPr lang="fi-FI" sz="1400" b="1" i="0" strike="noStrike">
              <a:solidFill>
                <a:srgbClr val="000000"/>
              </a:solidFill>
              <a:latin typeface="Franklin Gothic Medium Cond"/>
            </a:rPr>
            <a:t> </a:t>
          </a:r>
        </a:p>
      </xdr:txBody>
    </xdr:sp>
    <xdr:clientData/>
  </xdr:twoCellAnchor>
  <xdr:twoCellAnchor editAs="oneCell">
    <xdr:from>
      <xdr:col>5</xdr:col>
      <xdr:colOff>121920</xdr:colOff>
      <xdr:row>36</xdr:row>
      <xdr:rowOff>57150</xdr:rowOff>
    </xdr:from>
    <xdr:to>
      <xdr:col>15</xdr:col>
      <xdr:colOff>198120</xdr:colOff>
      <xdr:row>40</xdr:row>
      <xdr:rowOff>66675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1BA53A9E-8E54-40D9-B5CB-7C9B765C12F7}"/>
            </a:ext>
          </a:extLst>
        </xdr:cNvPr>
        <xdr:cNvSpPr txBox="1">
          <a:spLocks noChangeArrowheads="1"/>
        </xdr:cNvSpPr>
      </xdr:nvSpPr>
      <xdr:spPr bwMode="auto">
        <a:xfrm>
          <a:off x="2579370" y="7839075"/>
          <a:ext cx="5210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77724" rIns="0" bIns="0" anchor="t" upright="1"/>
        <a:lstStyle/>
        <a:p>
          <a:pPr algn="l" rtl="0">
            <a:defRPr sz="1000"/>
          </a:pPr>
          <a:r>
            <a:rPr lang="fi-FI" sz="2200" b="1" i="0" strike="noStrike">
              <a:solidFill>
                <a:srgbClr val="000000"/>
              </a:solidFill>
              <a:latin typeface="Franklin Gothic Medium Cond"/>
            </a:rPr>
            <a:t>Ilmastointialan urakkamittauspöytäkirja</a:t>
          </a:r>
        </a:p>
        <a:p>
          <a:pPr algn="l" rtl="0">
            <a:defRPr sz="1000"/>
          </a:pPr>
          <a:r>
            <a:rPr lang="fi-FI" sz="1400" b="1" i="0" strike="noStrike">
              <a:solidFill>
                <a:srgbClr val="000000"/>
              </a:solidFill>
              <a:latin typeface="Franklin Gothic Medium Cond"/>
            </a:rPr>
            <a:t> </a:t>
          </a:r>
        </a:p>
      </xdr:txBody>
    </xdr:sp>
    <xdr:clientData/>
  </xdr:twoCellAnchor>
  <xdr:twoCellAnchor editAs="oneCell">
    <xdr:from>
      <xdr:col>7</xdr:col>
      <xdr:colOff>281940</xdr:colOff>
      <xdr:row>6</xdr:row>
      <xdr:rowOff>57151</xdr:rowOff>
    </xdr:from>
    <xdr:to>
      <xdr:col>18</xdr:col>
      <xdr:colOff>133350</xdr:colOff>
      <xdr:row>8</xdr:row>
      <xdr:rowOff>142875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04B1760E-81EE-4DF7-9998-38A9ADA583D1}"/>
            </a:ext>
          </a:extLst>
        </xdr:cNvPr>
        <xdr:cNvSpPr txBox="1">
          <a:spLocks noChangeArrowheads="1"/>
        </xdr:cNvSpPr>
      </xdr:nvSpPr>
      <xdr:spPr bwMode="auto">
        <a:xfrm>
          <a:off x="3760636" y="1340955"/>
          <a:ext cx="5905997" cy="499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77724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fi-FI" sz="2300" b="1" i="0" u="sng" strike="noStrike">
              <a:solidFill>
                <a:srgbClr val="000000"/>
              </a:solidFill>
              <a:latin typeface="Franklin Gothic Medium Cond"/>
            </a:rPr>
            <a:t>Ilmastointialan urakan</a:t>
          </a:r>
          <a:r>
            <a:rPr lang="fi-FI" sz="2300" b="1" i="0" u="sng" strike="noStrike" baseline="0">
              <a:solidFill>
                <a:srgbClr val="000000"/>
              </a:solidFill>
              <a:latin typeface="Franklin Gothic Medium Cond"/>
            </a:rPr>
            <a:t>mittausohjelma 2023 - 2025</a:t>
          </a:r>
          <a:r>
            <a:rPr lang="fi-FI" sz="2300" b="1" i="0" strike="noStrike">
              <a:solidFill>
                <a:srgbClr val="000000"/>
              </a:solidFill>
              <a:latin typeface="Franklin Gothic Medium Cond"/>
            </a:rPr>
            <a:t> </a:t>
          </a:r>
        </a:p>
      </xdr:txBody>
    </xdr:sp>
    <xdr:clientData/>
  </xdr:twoCellAnchor>
  <xdr:twoCellAnchor editAs="oneCell">
    <xdr:from>
      <xdr:col>5</xdr:col>
      <xdr:colOff>352425</xdr:colOff>
      <xdr:row>1</xdr:row>
      <xdr:rowOff>9525</xdr:rowOff>
    </xdr:from>
    <xdr:to>
      <xdr:col>13</xdr:col>
      <xdr:colOff>400050</xdr:colOff>
      <xdr:row>4</xdr:row>
      <xdr:rowOff>180975</xdr:rowOff>
    </xdr:to>
    <xdr:pic>
      <xdr:nvPicPr>
        <xdr:cNvPr id="27164" name="Kuva 8" descr="suomi-ruotsi-vaaka-gif.gif">
          <a:extLst>
            <a:ext uri="{FF2B5EF4-FFF2-40B4-BE49-F238E27FC236}">
              <a16:creationId xmlns:a16="http://schemas.microsoft.com/office/drawing/2014/main" id="{DFBD4DC1-E9F0-4A0A-9601-0B5B08F40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219075"/>
          <a:ext cx="39243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0</xdr:row>
      <xdr:rowOff>161925</xdr:rowOff>
    </xdr:from>
    <xdr:to>
      <xdr:col>4</xdr:col>
      <xdr:colOff>276225</xdr:colOff>
      <xdr:row>2</xdr:row>
      <xdr:rowOff>19050</xdr:rowOff>
    </xdr:to>
    <xdr:pic>
      <xdr:nvPicPr>
        <xdr:cNvPr id="27165" name="Kuva 9" descr="suomi-vaaka-väri_gif.gif">
          <a:extLst>
            <a:ext uri="{FF2B5EF4-FFF2-40B4-BE49-F238E27FC236}">
              <a16:creationId xmlns:a16="http://schemas.microsoft.com/office/drawing/2014/main" id="{EBE1FB66-7ECB-4A9D-A907-2A9A5BCC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1925"/>
          <a:ext cx="1914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32</xdr:row>
      <xdr:rowOff>219075</xdr:rowOff>
    </xdr:from>
    <xdr:to>
      <xdr:col>6</xdr:col>
      <xdr:colOff>104775</xdr:colOff>
      <xdr:row>35</xdr:row>
      <xdr:rowOff>133350</xdr:rowOff>
    </xdr:to>
    <xdr:pic>
      <xdr:nvPicPr>
        <xdr:cNvPr id="27166" name="Kuva 10" descr="suomi-ruotsi-vaaka-v.JPG">
          <a:extLst>
            <a:ext uri="{FF2B5EF4-FFF2-40B4-BE49-F238E27FC236}">
              <a16:creationId xmlns:a16="http://schemas.microsoft.com/office/drawing/2014/main" id="{F3D3C47F-4190-4928-AB9B-889095776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53275"/>
          <a:ext cx="2657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8</xdr:row>
      <xdr:rowOff>198370</xdr:rowOff>
    </xdr:from>
    <xdr:to>
      <xdr:col>18</xdr:col>
      <xdr:colOff>9525</xdr:colOff>
      <xdr:row>23</xdr:row>
      <xdr:rowOff>66865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AD822CF0-C99B-44E6-9CDD-774CBB98D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3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638675" y="1903345"/>
          <a:ext cx="4914900" cy="3268920"/>
        </a:xfrm>
        <a:prstGeom prst="rect">
          <a:avLst/>
        </a:prstGeom>
        <a:effectLst>
          <a:softEdge rad="1778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58"/>
  <sheetViews>
    <sheetView tabSelected="1" view="pageLayout" zoomScale="130" zoomScaleNormal="100" zoomScalePageLayoutView="130" workbookViewId="0">
      <selection activeCell="M127" sqref="M127"/>
    </sheetView>
  </sheetViews>
  <sheetFormatPr defaultRowHeight="33" x14ac:dyDescent="0.45"/>
  <cols>
    <col min="1" max="1" width="5.5703125" style="5" customWidth="1"/>
    <col min="2" max="2" width="7.42578125" style="15" customWidth="1"/>
    <col min="3" max="6" width="7.28515625" style="15" customWidth="1"/>
    <col min="7" max="7" width="7.28515625" style="78" customWidth="1"/>
    <col min="8" max="8" width="7.140625" style="5" customWidth="1"/>
    <col min="9" max="15" width="7.28515625" style="5" customWidth="1"/>
    <col min="16" max="16" width="8.140625" style="5" customWidth="1"/>
    <col min="17" max="17" width="7.28515625" style="5" customWidth="1"/>
    <col min="18" max="18" width="12.42578125" style="5" customWidth="1"/>
    <col min="19" max="19" width="8.140625" style="5" customWidth="1"/>
    <col min="20" max="20" width="7.28515625" customWidth="1"/>
    <col min="21" max="21" width="6" customWidth="1"/>
  </cols>
  <sheetData>
    <row r="1" spans="1:35" ht="16.5" customHeight="1" x14ac:dyDescent="0.2">
      <c r="A1" s="597"/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5" ht="18" customHeight="1" x14ac:dyDescent="0.2">
      <c r="A2" s="598"/>
      <c r="B2" s="598"/>
      <c r="C2" s="598"/>
      <c r="D2" s="599"/>
      <c r="E2" s="600"/>
      <c r="F2" s="599"/>
      <c r="G2" s="599"/>
      <c r="H2" s="599"/>
      <c r="I2" s="599"/>
      <c r="J2" s="599"/>
      <c r="K2" s="599"/>
      <c r="L2" s="599"/>
      <c r="M2" s="599"/>
      <c r="N2" s="599"/>
      <c r="O2" s="598"/>
      <c r="P2" s="598"/>
      <c r="Q2" s="598"/>
      <c r="R2" s="598"/>
      <c r="S2" s="598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5" ht="18" customHeight="1" x14ac:dyDescent="0.2">
      <c r="A3" s="601"/>
      <c r="B3" s="601"/>
      <c r="C3" s="601"/>
      <c r="D3" s="601"/>
      <c r="E3" s="602"/>
      <c r="F3" s="599"/>
      <c r="G3" s="599"/>
      <c r="H3" s="599"/>
      <c r="I3" s="599"/>
      <c r="J3" s="599"/>
      <c r="K3" s="599"/>
      <c r="L3" s="599"/>
      <c r="M3" s="599"/>
      <c r="N3" s="599"/>
      <c r="O3" s="598"/>
      <c r="P3" s="598"/>
      <c r="Q3" s="598"/>
      <c r="R3" s="598"/>
      <c r="S3" s="598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</row>
    <row r="4" spans="1:35" ht="15.75" customHeight="1" x14ac:dyDescent="0.2">
      <c r="A4" s="603" t="s">
        <v>361</v>
      </c>
      <c r="B4" s="603"/>
      <c r="C4" s="603"/>
      <c r="D4" s="603"/>
      <c r="E4" s="604"/>
      <c r="F4" s="599"/>
      <c r="G4" s="599"/>
      <c r="H4" s="599"/>
      <c r="I4" s="599"/>
      <c r="J4" s="599"/>
      <c r="K4" s="599"/>
      <c r="L4" s="599"/>
      <c r="M4" s="599"/>
      <c r="N4" s="599"/>
      <c r="O4" s="598"/>
      <c r="P4" s="598"/>
      <c r="Q4" s="598"/>
      <c r="R4" s="598"/>
      <c r="S4" s="598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</row>
    <row r="5" spans="1:35" ht="16.5" customHeight="1" x14ac:dyDescent="0.2">
      <c r="A5" s="603" t="s">
        <v>362</v>
      </c>
      <c r="B5" s="603"/>
      <c r="C5" s="603"/>
      <c r="D5" s="603"/>
      <c r="E5" s="604"/>
      <c r="F5" s="599"/>
      <c r="G5" s="599"/>
      <c r="H5" s="599"/>
      <c r="I5" s="599"/>
      <c r="J5" s="599"/>
      <c r="K5" s="599"/>
      <c r="L5" s="599"/>
      <c r="M5" s="599"/>
      <c r="N5" s="599"/>
      <c r="O5" s="598"/>
      <c r="P5" s="598"/>
      <c r="Q5" s="598"/>
      <c r="R5" s="598"/>
      <c r="S5" s="598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</row>
    <row r="6" spans="1:35" ht="16.5" customHeight="1" x14ac:dyDescent="0.2">
      <c r="A6" s="603" t="s">
        <v>366</v>
      </c>
      <c r="B6" s="603"/>
      <c r="C6" s="603"/>
      <c r="D6" s="603"/>
      <c r="E6" s="604"/>
      <c r="F6" s="599"/>
      <c r="G6" s="599"/>
      <c r="H6" s="599"/>
      <c r="I6" s="599"/>
      <c r="J6" s="599"/>
      <c r="K6" s="599"/>
      <c r="L6" s="599"/>
      <c r="M6" s="599"/>
      <c r="N6" s="599"/>
      <c r="O6" s="598"/>
      <c r="P6" s="598"/>
      <c r="Q6" s="598"/>
      <c r="R6" s="598"/>
      <c r="S6" s="598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</row>
    <row r="7" spans="1:35" ht="16.5" customHeight="1" x14ac:dyDescent="0.2">
      <c r="A7" s="603" t="s">
        <v>363</v>
      </c>
      <c r="B7" s="603"/>
      <c r="C7" s="603"/>
      <c r="D7" s="603"/>
      <c r="E7" s="604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</row>
    <row r="8" spans="1:35" ht="16.5" customHeight="1" x14ac:dyDescent="0.2">
      <c r="A8" s="603" t="s">
        <v>364</v>
      </c>
      <c r="B8" s="603"/>
      <c r="C8" s="603"/>
      <c r="D8" s="603"/>
      <c r="E8" s="604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</row>
    <row r="9" spans="1:35" ht="18" customHeight="1" x14ac:dyDescent="0.5">
      <c r="A9" s="603" t="s">
        <v>375</v>
      </c>
      <c r="B9" s="603"/>
      <c r="C9" s="603"/>
      <c r="D9" s="603"/>
      <c r="E9" s="604"/>
      <c r="F9" s="598"/>
      <c r="G9" s="605"/>
      <c r="H9" s="605"/>
      <c r="I9" s="605"/>
      <c r="J9" s="598"/>
      <c r="K9" s="606"/>
      <c r="L9" s="598"/>
      <c r="M9" s="598"/>
      <c r="N9" s="598"/>
      <c r="O9" s="598"/>
      <c r="P9" s="598"/>
      <c r="Q9" s="598"/>
      <c r="R9" s="598"/>
      <c r="S9" s="598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</row>
    <row r="10" spans="1:35" ht="13.5" customHeight="1" x14ac:dyDescent="0.2">
      <c r="A10" s="603" t="s">
        <v>367</v>
      </c>
      <c r="B10" s="603"/>
      <c r="C10" s="603"/>
      <c r="D10" s="603"/>
      <c r="E10" s="604"/>
      <c r="F10" s="598"/>
      <c r="G10" s="605"/>
      <c r="H10" s="605"/>
      <c r="I10" s="605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</row>
    <row r="11" spans="1:35" ht="16.5" customHeight="1" x14ac:dyDescent="0.2">
      <c r="A11" s="603" t="s">
        <v>480</v>
      </c>
      <c r="B11" s="603"/>
      <c r="C11" s="603"/>
      <c r="D11" s="603"/>
      <c r="E11" s="604"/>
      <c r="F11" s="598"/>
      <c r="G11" s="605"/>
      <c r="H11" s="605"/>
      <c r="I11" s="605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</row>
    <row r="12" spans="1:35" ht="16.5" customHeight="1" x14ac:dyDescent="0.2">
      <c r="A12" s="603" t="s">
        <v>368</v>
      </c>
      <c r="B12" s="603"/>
      <c r="C12" s="603"/>
      <c r="D12" s="603"/>
      <c r="E12" s="604"/>
      <c r="F12" s="598"/>
      <c r="G12" s="747" t="s">
        <v>371</v>
      </c>
      <c r="H12" s="747"/>
      <c r="I12" s="605"/>
      <c r="J12" s="598"/>
      <c r="K12" s="598"/>
      <c r="L12" s="598"/>
      <c r="M12" s="598"/>
      <c r="N12" s="598"/>
      <c r="O12" s="598"/>
      <c r="P12" s="598"/>
      <c r="Q12" s="598"/>
      <c r="R12" s="598"/>
      <c r="S12" s="598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</row>
    <row r="13" spans="1:35" ht="16.5" customHeight="1" x14ac:dyDescent="0.2">
      <c r="A13" s="603" t="s">
        <v>369</v>
      </c>
      <c r="B13" s="603"/>
      <c r="C13" s="603"/>
      <c r="D13" s="603"/>
      <c r="E13" s="604"/>
      <c r="F13" s="598"/>
      <c r="G13" s="747" t="s">
        <v>372</v>
      </c>
      <c r="H13" s="747"/>
      <c r="I13" s="605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</row>
    <row r="14" spans="1:35" ht="16.5" customHeight="1" x14ac:dyDescent="0.2">
      <c r="A14" s="603" t="s">
        <v>370</v>
      </c>
      <c r="B14" s="603"/>
      <c r="C14" s="603"/>
      <c r="D14" s="603"/>
      <c r="E14" s="604"/>
      <c r="F14" s="598"/>
      <c r="G14" s="747" t="s">
        <v>373</v>
      </c>
      <c r="H14" s="747"/>
      <c r="I14" s="605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</row>
    <row r="15" spans="1:35" ht="16.5" customHeight="1" x14ac:dyDescent="0.2">
      <c r="A15" s="603" t="s">
        <v>318</v>
      </c>
      <c r="B15" s="603"/>
      <c r="C15" s="603"/>
      <c r="D15" s="603"/>
      <c r="E15" s="604"/>
      <c r="F15" s="598"/>
      <c r="G15" s="747" t="s">
        <v>376</v>
      </c>
      <c r="H15" s="747"/>
      <c r="I15" s="605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</row>
    <row r="16" spans="1:35" ht="17.25" customHeight="1" x14ac:dyDescent="0.2">
      <c r="A16" s="603" t="s">
        <v>213</v>
      </c>
      <c r="B16" s="603"/>
      <c r="C16" s="603"/>
      <c r="D16" s="603"/>
      <c r="E16" s="604"/>
      <c r="F16" s="598"/>
      <c r="G16" s="747" t="s">
        <v>374</v>
      </c>
      <c r="H16" s="747"/>
      <c r="I16" s="747"/>
      <c r="J16" s="747"/>
      <c r="K16" s="598"/>
      <c r="L16" s="598"/>
      <c r="M16" s="598"/>
      <c r="N16" s="598"/>
      <c r="O16" s="598"/>
      <c r="P16" s="598"/>
      <c r="Q16" s="598"/>
      <c r="R16" s="598"/>
      <c r="S16" s="598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</row>
    <row r="17" spans="1:52" ht="20.100000000000001" customHeight="1" x14ac:dyDescent="0.2">
      <c r="A17" s="601"/>
      <c r="B17" s="601"/>
      <c r="C17" s="601"/>
      <c r="D17" s="601"/>
      <c r="E17" s="602"/>
      <c r="F17" s="598"/>
      <c r="G17" s="605"/>
      <c r="H17" s="605"/>
      <c r="I17" s="605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</row>
    <row r="18" spans="1:52" ht="20.100000000000001" customHeight="1" x14ac:dyDescent="0.2">
      <c r="A18" s="598"/>
      <c r="B18" s="598"/>
      <c r="C18" s="598"/>
      <c r="D18" s="598"/>
      <c r="E18" s="607"/>
      <c r="F18" s="598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</row>
    <row r="19" spans="1:52" ht="20.100000000000001" customHeight="1" x14ac:dyDescent="0.2">
      <c r="A19" s="598"/>
      <c r="B19" s="598"/>
      <c r="C19" s="598"/>
      <c r="D19" s="598"/>
      <c r="E19" s="607"/>
      <c r="F19" s="598"/>
      <c r="G19" s="598"/>
      <c r="H19" s="598"/>
      <c r="I19" s="598"/>
      <c r="J19" s="598"/>
      <c r="K19" s="598"/>
      <c r="L19" s="598"/>
      <c r="M19" s="598"/>
      <c r="N19" s="598"/>
      <c r="O19" s="598"/>
      <c r="P19" s="598"/>
      <c r="Q19" s="598"/>
      <c r="R19" s="598"/>
      <c r="S19" s="598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</row>
    <row r="20" spans="1:52" ht="20.100000000000001" customHeight="1" x14ac:dyDescent="0.2">
      <c r="A20" s="598"/>
      <c r="B20" s="598"/>
      <c r="C20" s="598"/>
      <c r="D20" s="598"/>
      <c r="E20" s="607"/>
      <c r="F20" s="598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1:52" ht="20.100000000000001" customHeight="1" x14ac:dyDescent="0.2">
      <c r="A21" s="608"/>
      <c r="B21" s="608"/>
      <c r="C21" s="608"/>
      <c r="D21" s="608"/>
      <c r="E21" s="609"/>
      <c r="F21" s="598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</row>
    <row r="22" spans="1:52" ht="20.100000000000001" customHeight="1" x14ac:dyDescent="0.2">
      <c r="A22" s="610" t="s">
        <v>426</v>
      </c>
      <c r="B22" s="611"/>
      <c r="C22" s="611"/>
      <c r="D22" s="611"/>
      <c r="E22" s="612"/>
      <c r="F22" s="598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</row>
    <row r="23" spans="1:52" ht="20.100000000000001" customHeight="1" x14ac:dyDescent="0.2">
      <c r="A23" s="613" t="s">
        <v>425</v>
      </c>
      <c r="B23" s="605"/>
      <c r="C23" s="605"/>
      <c r="D23" s="605"/>
      <c r="E23" s="614"/>
      <c r="F23" s="598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</row>
    <row r="24" spans="1:52" ht="20.100000000000001" customHeight="1" x14ac:dyDescent="0.2">
      <c r="A24" s="615" t="s">
        <v>427</v>
      </c>
      <c r="B24" s="616"/>
      <c r="C24" s="616"/>
      <c r="D24" s="616"/>
      <c r="E24" s="617"/>
      <c r="F24" s="598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</row>
    <row r="25" spans="1:52" ht="20.25" customHeight="1" x14ac:dyDescent="0.2">
      <c r="A25" s="618" t="s">
        <v>406</v>
      </c>
      <c r="B25" s="619"/>
      <c r="C25" s="619"/>
      <c r="D25" s="619"/>
      <c r="E25" s="620"/>
      <c r="F25" s="598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</row>
    <row r="26" spans="1:52" ht="21.75" customHeight="1" x14ac:dyDescent="0.2">
      <c r="A26" s="621" t="s">
        <v>515</v>
      </c>
      <c r="B26" s="622"/>
      <c r="C26" s="622"/>
      <c r="D26" s="622"/>
      <c r="E26" s="623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</row>
    <row r="27" spans="1:52" ht="17.25" customHeight="1" x14ac:dyDescent="0.2">
      <c r="A27" s="624" t="s">
        <v>407</v>
      </c>
      <c r="B27" s="625"/>
      <c r="C27" s="625"/>
      <c r="D27" s="625"/>
      <c r="E27" s="626"/>
      <c r="F27" s="627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</row>
    <row r="28" spans="1:52" ht="51.6" customHeight="1" x14ac:dyDescent="0.45">
      <c r="A28" s="627"/>
      <c r="B28" s="628"/>
      <c r="C28" s="628"/>
      <c r="D28" s="628"/>
      <c r="E28" s="629"/>
      <c r="F28" s="628"/>
      <c r="G28" s="630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</row>
    <row r="29" spans="1:52" ht="3" hidden="1" customHeight="1" x14ac:dyDescent="0.45">
      <c r="A29" s="296"/>
      <c r="B29" s="297"/>
      <c r="C29" s="297"/>
      <c r="D29" s="297"/>
      <c r="E29" s="297"/>
      <c r="F29" s="297"/>
      <c r="G29" s="298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</row>
    <row r="30" spans="1:52" s="109" customFormat="1" ht="2.25" customHeight="1" x14ac:dyDescent="0.45">
      <c r="B30" s="157"/>
      <c r="C30" s="157"/>
      <c r="D30" s="157"/>
      <c r="E30" s="157"/>
      <c r="F30" s="157"/>
      <c r="G30" s="213"/>
    </row>
    <row r="31" spans="1:52" ht="15" hidden="1" customHeight="1" x14ac:dyDescent="0.45">
      <c r="A31" s="26"/>
      <c r="B31" s="27"/>
      <c r="C31" s="27"/>
      <c r="D31" s="27"/>
      <c r="E31" s="27"/>
      <c r="F31" s="27"/>
      <c r="G31" s="7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9"/>
      <c r="T31" s="136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</row>
    <row r="32" spans="1:52" ht="12" customHeight="1" x14ac:dyDescent="0.45">
      <c r="A32" s="30"/>
      <c r="S32" s="31"/>
      <c r="T32" s="136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</row>
    <row r="33" spans="1:52" ht="16.899999999999999" customHeight="1" x14ac:dyDescent="0.45">
      <c r="A33" s="36"/>
      <c r="R33" s="417" t="s">
        <v>517</v>
      </c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</row>
    <row r="34" spans="1:52" ht="18" customHeight="1" x14ac:dyDescent="0.45">
      <c r="J34" s="324" t="s">
        <v>221</v>
      </c>
      <c r="T34" s="109"/>
      <c r="U34" s="132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</row>
    <row r="35" spans="1:52" ht="15" customHeight="1" x14ac:dyDescent="0.45"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</row>
    <row r="36" spans="1:52" ht="15" customHeight="1" x14ac:dyDescent="0.45">
      <c r="T36" s="109"/>
      <c r="U36" s="132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</row>
    <row r="37" spans="1:52" ht="15" customHeight="1" x14ac:dyDescent="0.45">
      <c r="T37" s="109"/>
      <c r="U37" s="132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</row>
    <row r="38" spans="1:52" ht="15" customHeight="1" x14ac:dyDescent="0.45">
      <c r="T38" s="109"/>
      <c r="U38" s="132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</row>
    <row r="39" spans="1:52" ht="15" customHeight="1" x14ac:dyDescent="0.45">
      <c r="T39" s="109"/>
      <c r="U39" s="132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</row>
    <row r="40" spans="1:52" ht="15" customHeight="1" x14ac:dyDescent="0.45">
      <c r="T40" s="109"/>
      <c r="U40" s="132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</row>
    <row r="41" spans="1:52" ht="15" customHeight="1" x14ac:dyDescent="0.45">
      <c r="T41" s="109"/>
      <c r="U41" s="132"/>
      <c r="V41" s="136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</row>
    <row r="42" spans="1:52" ht="15" customHeight="1" x14ac:dyDescent="0.45">
      <c r="T42" s="109"/>
      <c r="U42" s="132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</row>
    <row r="43" spans="1:52" ht="17.25" customHeight="1" x14ac:dyDescent="0.45">
      <c r="N43" s="53" t="s">
        <v>261</v>
      </c>
      <c r="Q43" s="718"/>
      <c r="R43" s="718"/>
      <c r="T43" s="109"/>
      <c r="U43" s="132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</row>
    <row r="44" spans="1:52" ht="9" customHeight="1" x14ac:dyDescent="0.45">
      <c r="T44" s="109"/>
      <c r="U44" s="132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</row>
    <row r="45" spans="1:52" ht="15" customHeight="1" x14ac:dyDescent="0.45">
      <c r="N45" s="53"/>
      <c r="T45" s="109"/>
      <c r="U45" s="132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</row>
    <row r="46" spans="1:52" ht="17.25" customHeight="1" x14ac:dyDescent="0.2">
      <c r="A46" s="53" t="s">
        <v>140</v>
      </c>
      <c r="B46" s="122"/>
      <c r="C46" s="122"/>
      <c r="D46" s="713"/>
      <c r="E46" s="714"/>
      <c r="F46" s="714"/>
      <c r="G46" s="714"/>
      <c r="H46" s="714"/>
      <c r="I46" s="53"/>
      <c r="J46" s="53"/>
      <c r="K46" s="53"/>
      <c r="L46" s="53"/>
      <c r="M46" s="53"/>
      <c r="N46" s="53" t="s">
        <v>141</v>
      </c>
      <c r="O46" s="53"/>
      <c r="P46" s="162"/>
      <c r="Q46" s="713"/>
      <c r="R46" s="714"/>
      <c r="S46" s="53"/>
      <c r="T46" s="109"/>
      <c r="U46" s="132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</row>
    <row r="47" spans="1:52" ht="21" customHeight="1" x14ac:dyDescent="0.2">
      <c r="A47" s="53"/>
      <c r="B47" s="122"/>
      <c r="C47" s="122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212"/>
      <c r="U47" s="132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</row>
    <row r="48" spans="1:52" ht="15.75" customHeight="1" x14ac:dyDescent="0.2">
      <c r="A48" s="53" t="s">
        <v>142</v>
      </c>
      <c r="B48" s="122"/>
      <c r="C48" s="122"/>
      <c r="D48" s="748"/>
      <c r="E48" s="715"/>
      <c r="F48" s="715"/>
      <c r="G48" s="715"/>
      <c r="H48" s="715"/>
      <c r="I48" s="53"/>
      <c r="J48" s="53"/>
      <c r="K48" s="53"/>
      <c r="L48" s="53"/>
      <c r="M48" s="53"/>
      <c r="N48" s="53" t="s">
        <v>143</v>
      </c>
      <c r="O48" s="53"/>
      <c r="P48" s="163"/>
      <c r="Q48" s="713"/>
      <c r="R48" s="714"/>
      <c r="S48" s="53"/>
      <c r="T48" s="212"/>
      <c r="U48" s="132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</row>
    <row r="49" spans="1:52" ht="21" customHeight="1" x14ac:dyDescent="0.2">
      <c r="A49" s="53"/>
      <c r="B49" s="122"/>
      <c r="C49" s="122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212"/>
      <c r="U49" s="132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</row>
    <row r="50" spans="1:52" ht="15.75" customHeight="1" x14ac:dyDescent="0.2">
      <c r="A50" s="235" t="s">
        <v>378</v>
      </c>
      <c r="B50" s="122"/>
      <c r="C50" s="122"/>
      <c r="D50" s="713"/>
      <c r="E50" s="714"/>
      <c r="F50" s="714"/>
      <c r="G50" s="714"/>
      <c r="H50" s="714"/>
      <c r="I50" s="53"/>
      <c r="J50" s="53"/>
      <c r="K50" s="53"/>
      <c r="L50" s="53"/>
      <c r="M50" s="53"/>
      <c r="N50" s="53" t="s">
        <v>144</v>
      </c>
      <c r="O50" s="53"/>
      <c r="P50" s="53"/>
      <c r="Q50" s="714"/>
      <c r="R50" s="714"/>
      <c r="S50" s="53"/>
      <c r="T50" s="212"/>
      <c r="U50" s="132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</row>
    <row r="51" spans="1:52" ht="14.25" customHeight="1" x14ac:dyDescent="0.2">
      <c r="A51" s="53"/>
      <c r="B51" s="122"/>
      <c r="C51" s="122"/>
      <c r="D51" s="122"/>
      <c r="E51" s="122"/>
      <c r="F51" s="122"/>
      <c r="G51" s="122"/>
      <c r="H51" s="53"/>
      <c r="I51" s="53"/>
      <c r="J51" s="53"/>
      <c r="K51" s="53"/>
      <c r="L51" s="53"/>
      <c r="M51" s="53"/>
      <c r="N51" s="53"/>
      <c r="O51" s="53"/>
      <c r="P51" s="53"/>
      <c r="Q51" s="164"/>
      <c r="R51" s="164"/>
      <c r="S51" s="53"/>
      <c r="T51" s="212"/>
      <c r="U51" s="132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</row>
    <row r="52" spans="1:52" ht="15" customHeight="1" x14ac:dyDescent="0.2">
      <c r="A52" s="235" t="s">
        <v>378</v>
      </c>
      <c r="B52" s="122"/>
      <c r="C52" s="122"/>
      <c r="D52" s="715"/>
      <c r="E52" s="715"/>
      <c r="F52" s="715"/>
      <c r="G52" s="715"/>
      <c r="H52" s="715"/>
      <c r="I52" s="53"/>
      <c r="J52" s="53"/>
      <c r="K52" s="53"/>
      <c r="L52" s="53"/>
      <c r="M52" s="53"/>
      <c r="N52" s="53"/>
      <c r="O52" s="53"/>
      <c r="P52" s="53"/>
      <c r="Q52" s="164"/>
      <c r="R52" s="164"/>
      <c r="S52" s="53"/>
      <c r="T52" s="212"/>
      <c r="U52" s="132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</row>
    <row r="53" spans="1:52" ht="15.75" customHeight="1" x14ac:dyDescent="0.25">
      <c r="A53" s="53"/>
      <c r="B53" s="122"/>
      <c r="C53" s="122"/>
      <c r="D53" s="122"/>
      <c r="E53" s="122"/>
      <c r="F53" s="122"/>
      <c r="G53" s="85"/>
      <c r="H53" s="183"/>
      <c r="I53" s="53"/>
      <c r="J53" s="53"/>
      <c r="K53" s="53"/>
      <c r="L53" s="53" t="s">
        <v>206</v>
      </c>
      <c r="M53" s="53"/>
      <c r="N53" s="53"/>
      <c r="O53" s="53"/>
      <c r="P53" s="53"/>
      <c r="Q53" s="734">
        <f>SUM(R102+R136+R173+R252+R296+R340+R379)</f>
        <v>0</v>
      </c>
      <c r="R53" s="734"/>
      <c r="S53" s="53" t="s">
        <v>0</v>
      </c>
      <c r="T53" s="212"/>
      <c r="U53" s="132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</row>
    <row r="54" spans="1:52" ht="15" customHeight="1" x14ac:dyDescent="0.2">
      <c r="A54" s="53"/>
      <c r="B54" s="122"/>
      <c r="C54" s="122"/>
      <c r="D54" s="122"/>
      <c r="E54" s="122"/>
      <c r="F54" s="122"/>
      <c r="G54" s="85"/>
      <c r="H54" s="165"/>
      <c r="I54" s="53"/>
      <c r="J54" s="53"/>
      <c r="K54" s="53"/>
      <c r="L54" s="53"/>
      <c r="M54" s="53"/>
      <c r="N54" s="53"/>
      <c r="O54" s="53"/>
      <c r="P54" s="53"/>
      <c r="Q54" s="53"/>
      <c r="R54" s="122"/>
      <c r="S54" s="53"/>
      <c r="T54" s="212"/>
      <c r="U54" s="132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</row>
    <row r="55" spans="1:52" ht="15.75" customHeight="1" x14ac:dyDescent="0.25">
      <c r="A55" s="53"/>
      <c r="B55" s="122"/>
      <c r="C55" s="122"/>
      <c r="D55" s="122"/>
      <c r="E55" s="122"/>
      <c r="F55" s="122"/>
      <c r="G55" s="85"/>
      <c r="H55" s="183"/>
      <c r="I55" s="53"/>
      <c r="J55" s="53"/>
      <c r="K55" s="53"/>
      <c r="L55" s="53" t="s">
        <v>319</v>
      </c>
      <c r="M55" s="53"/>
      <c r="N55" s="53"/>
      <c r="O55" s="53"/>
      <c r="P55" s="53"/>
      <c r="Q55" s="734">
        <f>SUM(R412+R454+R499)</f>
        <v>0</v>
      </c>
      <c r="R55" s="734"/>
      <c r="S55" s="53" t="s">
        <v>0</v>
      </c>
      <c r="T55" s="212"/>
      <c r="U55" s="132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</row>
    <row r="56" spans="1:52" ht="14.25" customHeight="1" x14ac:dyDescent="0.2">
      <c r="A56" s="53"/>
      <c r="B56" s="122"/>
      <c r="C56" s="122"/>
      <c r="D56" s="122"/>
      <c r="E56" s="122"/>
      <c r="F56" s="122"/>
      <c r="G56" s="85"/>
      <c r="H56" s="165"/>
      <c r="I56" s="53"/>
      <c r="J56" s="53"/>
      <c r="K56" s="53"/>
      <c r="L56" s="53"/>
      <c r="M56" s="53"/>
      <c r="N56" s="53"/>
      <c r="O56" s="53"/>
      <c r="P56" s="53"/>
      <c r="Q56" s="53"/>
      <c r="R56" s="185"/>
      <c r="S56" s="53"/>
      <c r="T56" s="212"/>
      <c r="U56" s="132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</row>
    <row r="57" spans="1:52" ht="15" customHeight="1" x14ac:dyDescent="0.2">
      <c r="A57" s="53"/>
      <c r="B57" s="122" t="s">
        <v>214</v>
      </c>
      <c r="C57" s="122"/>
      <c r="D57" s="122"/>
      <c r="E57" s="122"/>
      <c r="F57" s="122"/>
      <c r="G57" s="85"/>
      <c r="H57" s="165"/>
      <c r="I57" s="53"/>
      <c r="J57" s="53"/>
      <c r="K57" s="53"/>
      <c r="L57" s="53"/>
      <c r="M57" s="53"/>
      <c r="N57" s="53"/>
      <c r="O57" s="53"/>
      <c r="P57" s="53"/>
      <c r="Q57" s="53"/>
      <c r="R57" s="185"/>
      <c r="S57" s="53"/>
      <c r="T57" s="212"/>
      <c r="U57" s="132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</row>
    <row r="58" spans="1:52" ht="15" customHeight="1" x14ac:dyDescent="0.25">
      <c r="A58" s="53"/>
      <c r="B58" s="122"/>
      <c r="C58" s="122"/>
      <c r="D58" s="162"/>
      <c r="E58" s="162"/>
      <c r="F58" s="162"/>
      <c r="G58" s="85"/>
      <c r="H58" s="183"/>
      <c r="I58" s="53"/>
      <c r="J58" s="53"/>
      <c r="K58" s="53"/>
      <c r="L58" s="53" t="s">
        <v>318</v>
      </c>
      <c r="M58" s="53"/>
      <c r="N58" s="53"/>
      <c r="O58" s="53"/>
      <c r="P58" s="53"/>
      <c r="Q58" s="734">
        <f>SUM(R540)</f>
        <v>0</v>
      </c>
      <c r="R58" s="734"/>
      <c r="S58" s="53" t="s">
        <v>0</v>
      </c>
      <c r="T58" s="212"/>
      <c r="U58" s="132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</row>
    <row r="59" spans="1:52" ht="15" customHeight="1" x14ac:dyDescent="0.2">
      <c r="A59" s="53"/>
      <c r="B59" s="122" t="s">
        <v>140</v>
      </c>
      <c r="C59" s="122"/>
      <c r="D59" s="318"/>
      <c r="E59" s="318"/>
      <c r="F59" s="318"/>
      <c r="G59" s="85"/>
      <c r="H59" s="165"/>
      <c r="I59" s="53"/>
      <c r="J59" s="53"/>
      <c r="K59" s="53"/>
      <c r="L59" s="53"/>
      <c r="M59" s="53"/>
      <c r="N59" s="53"/>
      <c r="O59" s="53"/>
      <c r="P59" s="53"/>
      <c r="Q59" s="53"/>
      <c r="R59" s="185"/>
      <c r="S59" s="53"/>
      <c r="T59" s="212"/>
      <c r="U59" s="132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</row>
    <row r="60" spans="1:52" ht="15" customHeight="1" x14ac:dyDescent="0.25">
      <c r="A60" s="53"/>
      <c r="B60" s="122"/>
      <c r="C60" s="122"/>
      <c r="D60" s="162"/>
      <c r="E60" s="162"/>
      <c r="F60" s="162"/>
      <c r="G60" s="85"/>
      <c r="H60" s="183"/>
      <c r="I60" s="53"/>
      <c r="J60" s="53"/>
      <c r="K60" s="53"/>
      <c r="L60" s="53" t="s">
        <v>213</v>
      </c>
      <c r="M60" s="53"/>
      <c r="N60" s="53"/>
      <c r="O60" s="53"/>
      <c r="P60" s="53"/>
      <c r="Q60" s="734">
        <f>SUM(R582)</f>
        <v>0</v>
      </c>
      <c r="R60" s="734"/>
      <c r="S60" s="53" t="s">
        <v>0</v>
      </c>
      <c r="T60" s="212"/>
      <c r="U60" s="132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</row>
    <row r="61" spans="1:52" ht="13.5" customHeight="1" x14ac:dyDescent="0.2">
      <c r="A61" s="53"/>
      <c r="B61" s="122" t="s">
        <v>215</v>
      </c>
      <c r="C61" s="122"/>
      <c r="D61" s="318"/>
      <c r="E61" s="318"/>
      <c r="F61" s="318"/>
      <c r="G61" s="85"/>
      <c r="H61" s="165"/>
      <c r="I61" s="53"/>
      <c r="J61" s="53"/>
      <c r="K61" s="53"/>
      <c r="L61" s="53"/>
      <c r="M61" s="53"/>
      <c r="N61" s="53"/>
      <c r="O61" s="53"/>
      <c r="P61" s="53"/>
      <c r="Q61" s="53"/>
      <c r="R61" s="185"/>
      <c r="S61" s="53"/>
      <c r="T61" s="212"/>
      <c r="U61" s="132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</row>
    <row r="62" spans="1:52" ht="15.75" customHeight="1" x14ac:dyDescent="0.2">
      <c r="A62" s="53"/>
      <c r="B62" s="122"/>
      <c r="C62" s="122"/>
      <c r="D62" s="122"/>
      <c r="E62" s="122"/>
      <c r="F62" s="122"/>
      <c r="G62" s="85"/>
      <c r="H62" s="165"/>
      <c r="I62" s="53"/>
      <c r="J62" s="53"/>
      <c r="K62" s="53"/>
      <c r="L62" s="575" t="s">
        <v>468</v>
      </c>
      <c r="O62" s="576"/>
      <c r="Q62" s="734">
        <f>SUM(Q53+Q55+Q58)*O62</f>
        <v>0</v>
      </c>
      <c r="R62" s="734"/>
      <c r="S62" s="235" t="s">
        <v>0</v>
      </c>
      <c r="T62" s="212"/>
      <c r="U62" s="132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</row>
    <row r="63" spans="1:52" ht="18.75" customHeight="1" x14ac:dyDescent="0.25">
      <c r="A63" s="53"/>
      <c r="B63" s="122"/>
      <c r="C63" s="122"/>
      <c r="D63" s="122"/>
      <c r="E63" s="122"/>
      <c r="F63" s="122"/>
      <c r="G63" s="85"/>
      <c r="H63" s="183"/>
      <c r="I63" s="324"/>
      <c r="J63" s="53"/>
      <c r="K63" s="53"/>
      <c r="L63" s="53" t="s">
        <v>208</v>
      </c>
      <c r="M63" s="53"/>
      <c r="N63" s="53"/>
      <c r="O63" s="53"/>
      <c r="P63" s="53"/>
      <c r="Q63" s="751">
        <f>SUM(Q53+Q55+Q58+Q60+Q62)</f>
        <v>0</v>
      </c>
      <c r="R63" s="751"/>
      <c r="S63" s="53" t="s">
        <v>0</v>
      </c>
      <c r="T63" s="212"/>
      <c r="U63" s="132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</row>
    <row r="64" spans="1:52" ht="18.75" customHeight="1" x14ac:dyDescent="0.25">
      <c r="A64" s="391"/>
      <c r="B64" s="122"/>
      <c r="C64" s="122"/>
      <c r="D64" s="122"/>
      <c r="E64" s="122"/>
      <c r="F64" s="122"/>
      <c r="G64" s="122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183"/>
      <c r="S64" s="53"/>
      <c r="T64" s="212"/>
      <c r="U64" s="132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</row>
    <row r="65" spans="1:52" ht="18" customHeight="1" x14ac:dyDescent="0.2">
      <c r="A65" s="53"/>
      <c r="B65" s="122"/>
      <c r="C65" s="122"/>
      <c r="D65" s="122"/>
      <c r="E65" s="122"/>
      <c r="F65" s="122"/>
      <c r="G65" s="122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212"/>
      <c r="U65" s="132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</row>
    <row r="66" spans="1:52" ht="17.25" customHeight="1" x14ac:dyDescent="0.2">
      <c r="A66" s="53"/>
      <c r="B66" s="122"/>
      <c r="C66" s="122"/>
      <c r="D66" s="122"/>
      <c r="E66" s="122"/>
      <c r="F66" s="122"/>
      <c r="G66" s="122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212"/>
      <c r="U66" s="132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</row>
    <row r="67" spans="1:52" ht="17.25" customHeight="1" x14ac:dyDescent="0.2">
      <c r="A67" s="53"/>
      <c r="B67" s="122"/>
      <c r="C67" s="122"/>
      <c r="D67" s="122"/>
      <c r="E67" s="122"/>
      <c r="F67" s="122"/>
      <c r="G67" s="122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212"/>
      <c r="U67" s="132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</row>
    <row r="68" spans="1:52" ht="0.75" customHeight="1" x14ac:dyDescent="0.45">
      <c r="T68" s="212"/>
      <c r="U68" s="132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</row>
    <row r="69" spans="1:52" ht="20.25" customHeight="1" x14ac:dyDescent="0.45">
      <c r="A69" s="35" t="s">
        <v>227</v>
      </c>
      <c r="B69" s="36"/>
      <c r="C69" s="35" t="s">
        <v>509</v>
      </c>
      <c r="D69" s="36"/>
      <c r="E69" s="4"/>
      <c r="F69" s="4"/>
      <c r="H69" s="4"/>
      <c r="I69" s="4"/>
      <c r="J69" s="328" t="s">
        <v>221</v>
      </c>
      <c r="N69" s="3"/>
      <c r="P69" s="3"/>
      <c r="Q69" s="36"/>
      <c r="R69" s="142"/>
      <c r="S69" s="3"/>
      <c r="T69" s="212"/>
      <c r="U69" s="132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</row>
    <row r="70" spans="1:52" ht="18.75" customHeight="1" x14ac:dyDescent="0.45">
      <c r="A70" s="3"/>
      <c r="B70" s="3"/>
      <c r="C70" s="3"/>
      <c r="D70" s="3"/>
      <c r="E70" s="4"/>
      <c r="F70" s="4"/>
      <c r="H70" s="4"/>
      <c r="I70" s="4"/>
      <c r="J70" s="4"/>
      <c r="K70" s="3"/>
      <c r="L70" s="3"/>
      <c r="M70" s="3"/>
      <c r="N70" s="3"/>
      <c r="O70" s="3"/>
      <c r="P70" s="3"/>
      <c r="Q70" s="3"/>
      <c r="R70" s="3"/>
      <c r="S70" s="3"/>
      <c r="T70" s="136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</row>
    <row r="71" spans="1:52" ht="15" hidden="1" customHeight="1" x14ac:dyDescent="0.45">
      <c r="A71" s="3"/>
      <c r="B71" s="5"/>
      <c r="C71" s="5"/>
      <c r="D71" s="5"/>
      <c r="E71" s="4"/>
      <c r="F71" s="4"/>
      <c r="H71" s="4"/>
      <c r="I71" s="4"/>
      <c r="J71" s="4"/>
      <c r="K71" s="3"/>
      <c r="L71" s="3"/>
      <c r="M71" s="3"/>
      <c r="N71" s="3"/>
      <c r="O71" s="3"/>
      <c r="P71" s="3"/>
      <c r="T71" s="136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</row>
    <row r="72" spans="1:52" ht="24" customHeight="1" x14ac:dyDescent="0.5">
      <c r="A72" s="691" t="s">
        <v>435</v>
      </c>
      <c r="B72" s="6"/>
      <c r="C72" s="151">
        <v>1</v>
      </c>
      <c r="D72" s="320"/>
      <c r="E72" s="151"/>
      <c r="F72" s="151">
        <v>2</v>
      </c>
      <c r="G72" s="152"/>
      <c r="H72" s="321"/>
      <c r="I72" s="151">
        <v>3</v>
      </c>
      <c r="J72" s="320"/>
      <c r="K72" s="151"/>
      <c r="L72" s="151">
        <v>4</v>
      </c>
      <c r="M72" s="151"/>
      <c r="N72" s="321"/>
      <c r="O72" s="151">
        <v>5</v>
      </c>
      <c r="P72" s="320"/>
      <c r="Q72" s="151"/>
      <c r="R72" s="153">
        <v>6</v>
      </c>
      <c r="S72" s="10"/>
      <c r="T72" s="136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</row>
    <row r="73" spans="1:52" ht="15" customHeight="1" x14ac:dyDescent="0.45">
      <c r="A73" s="692"/>
      <c r="B73" s="430"/>
      <c r="C73" s="32"/>
      <c r="D73" s="432"/>
      <c r="E73" s="32" t="s">
        <v>52</v>
      </c>
      <c r="F73" s="32"/>
      <c r="G73" s="94"/>
      <c r="H73" s="430" t="s">
        <v>53</v>
      </c>
      <c r="I73" s="32"/>
      <c r="J73" s="432"/>
      <c r="K73" s="32"/>
      <c r="L73" s="32"/>
      <c r="M73" s="32"/>
      <c r="N73" s="430"/>
      <c r="O73" s="32"/>
      <c r="P73" s="432"/>
      <c r="Q73" s="32"/>
      <c r="R73" s="16"/>
      <c r="S73" s="65"/>
      <c r="T73" s="136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</row>
    <row r="74" spans="1:52" ht="15" customHeight="1" x14ac:dyDescent="0.2">
      <c r="A74" s="4" t="s">
        <v>38</v>
      </c>
      <c r="B74" s="430" t="s">
        <v>0</v>
      </c>
      <c r="C74" s="32" t="s">
        <v>139</v>
      </c>
      <c r="D74" s="432" t="s">
        <v>0</v>
      </c>
      <c r="E74" s="32" t="s">
        <v>0</v>
      </c>
      <c r="F74" s="32" t="s">
        <v>139</v>
      </c>
      <c r="G74" s="95" t="s">
        <v>0</v>
      </c>
      <c r="H74" s="430" t="s">
        <v>0</v>
      </c>
      <c r="I74" s="32" t="s">
        <v>139</v>
      </c>
      <c r="J74" s="432" t="s">
        <v>0</v>
      </c>
      <c r="K74" s="32" t="s">
        <v>0</v>
      </c>
      <c r="L74" s="32" t="s">
        <v>145</v>
      </c>
      <c r="M74" s="32" t="s">
        <v>0</v>
      </c>
      <c r="N74" s="430" t="s">
        <v>0</v>
      </c>
      <c r="O74" s="32" t="s">
        <v>145</v>
      </c>
      <c r="P74" s="432" t="s">
        <v>0</v>
      </c>
      <c r="Q74" s="32" t="s">
        <v>0</v>
      </c>
      <c r="R74" s="16" t="s">
        <v>145</v>
      </c>
      <c r="S74" s="392" t="s">
        <v>0</v>
      </c>
      <c r="T74" s="136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</row>
    <row r="75" spans="1:52" ht="15" customHeight="1" x14ac:dyDescent="0.2">
      <c r="A75" s="218">
        <v>-125</v>
      </c>
      <c r="B75" s="367">
        <v>0.18</v>
      </c>
      <c r="C75" s="302">
        <f>SUM('Pyöreät kanavat ja osat'!U9)</f>
        <v>0</v>
      </c>
      <c r="D75" s="367">
        <f>SUM(C75*0.18)</f>
        <v>0</v>
      </c>
      <c r="E75" s="367">
        <v>0.37</v>
      </c>
      <c r="F75" s="302">
        <f>SUM('Pyöreät kanavat ja osat'!U26)</f>
        <v>0</v>
      </c>
      <c r="G75" s="367">
        <f>SUM(F75*0.37)</f>
        <v>0</v>
      </c>
      <c r="H75" s="367">
        <v>0.57999999999999996</v>
      </c>
      <c r="I75" s="302">
        <f>SUM('Pyöreät kanavat ja osat'!U45)</f>
        <v>0</v>
      </c>
      <c r="J75" s="367">
        <f>SUM(I75*0.58)</f>
        <v>0</v>
      </c>
      <c r="K75" s="367">
        <v>0.18</v>
      </c>
      <c r="L75" s="176">
        <f>SUM('Pyöreät kanavat ja osat'!U59)</f>
        <v>0</v>
      </c>
      <c r="M75" s="367">
        <f>SUM(L75*0.18)</f>
        <v>0</v>
      </c>
      <c r="N75" s="367">
        <v>0.48</v>
      </c>
      <c r="O75" s="176">
        <f>SUM('Pyöreät kanavat ja osat'!U73)</f>
        <v>0</v>
      </c>
      <c r="P75" s="367">
        <f>SUM(O75*0.48)</f>
        <v>0</v>
      </c>
      <c r="Q75" s="367">
        <v>1.98</v>
      </c>
      <c r="R75" s="178">
        <f>SUM('Pyöreät kanavat ja osat'!U87)</f>
        <v>0</v>
      </c>
      <c r="S75" s="97">
        <f>SUM(R75*1.98)</f>
        <v>0</v>
      </c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</row>
    <row r="76" spans="1:52" ht="15" customHeight="1" x14ac:dyDescent="0.2">
      <c r="A76" s="218">
        <v>-200</v>
      </c>
      <c r="B76" s="367">
        <v>0.21</v>
      </c>
      <c r="C76" s="302">
        <f>SUM('Pyöreät kanavat ja osat'!U10)</f>
        <v>0</v>
      </c>
      <c r="D76" s="367">
        <f>SUM(C76*0.21)</f>
        <v>0</v>
      </c>
      <c r="E76" s="367">
        <v>0.4</v>
      </c>
      <c r="F76" s="302">
        <f>SUM('Pyöreät kanavat ja osat'!U27)</f>
        <v>0</v>
      </c>
      <c r="G76" s="367">
        <f>SUM(F76*0.4)</f>
        <v>0</v>
      </c>
      <c r="H76" s="367">
        <v>0.63</v>
      </c>
      <c r="I76" s="302">
        <f>SUM('Pyöreät kanavat ja osat'!U46)</f>
        <v>0</v>
      </c>
      <c r="J76" s="367">
        <f>SUM(I76*0.63)</f>
        <v>0</v>
      </c>
      <c r="K76" s="367">
        <v>0.3</v>
      </c>
      <c r="L76" s="176">
        <f>SUM('Pyöreät kanavat ja osat'!U60)</f>
        <v>0</v>
      </c>
      <c r="M76" s="367">
        <f>SUM(L76*0.3)</f>
        <v>0</v>
      </c>
      <c r="N76" s="367">
        <v>0.53</v>
      </c>
      <c r="O76" s="176">
        <f>SUM('Pyöreät kanavat ja osat'!U74)</f>
        <v>0</v>
      </c>
      <c r="P76" s="367">
        <f>SUM(O76*0.53)</f>
        <v>0</v>
      </c>
      <c r="Q76" s="367">
        <v>1.98</v>
      </c>
      <c r="R76" s="178">
        <f>SUM('Pyöreät kanavat ja osat'!U88)</f>
        <v>0</v>
      </c>
      <c r="S76" s="97">
        <f>SUM(R76*1.98)</f>
        <v>0</v>
      </c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</row>
    <row r="77" spans="1:52" ht="15" customHeight="1" x14ac:dyDescent="0.2">
      <c r="A77" s="218">
        <v>250</v>
      </c>
      <c r="B77" s="367">
        <v>0.25</v>
      </c>
      <c r="C77" s="302">
        <f>SUM('Pyöreät kanavat ja osat'!U11)</f>
        <v>0</v>
      </c>
      <c r="D77" s="367">
        <f>SUM(C77*0.25)</f>
        <v>0</v>
      </c>
      <c r="E77" s="367">
        <v>0.48</v>
      </c>
      <c r="F77" s="302">
        <f>SUM('Pyöreät kanavat ja osat'!U28)</f>
        <v>0</v>
      </c>
      <c r="G77" s="367">
        <f>SUM(F77*0.48)</f>
        <v>0</v>
      </c>
      <c r="H77" s="367">
        <v>0.75</v>
      </c>
      <c r="I77" s="302">
        <f>SUM('Pyöreät kanavat ja osat'!U47)</f>
        <v>0</v>
      </c>
      <c r="J77" s="367">
        <f>SUM(I77*0.75)</f>
        <v>0</v>
      </c>
      <c r="K77" s="367">
        <v>0.35</v>
      </c>
      <c r="L77" s="176">
        <f>SUM('Pyöreät kanavat ja osat'!U61)</f>
        <v>0</v>
      </c>
      <c r="M77" s="367">
        <f>SUM(L77*0.35)</f>
        <v>0</v>
      </c>
      <c r="N77" s="367">
        <v>0.57999999999999996</v>
      </c>
      <c r="O77" s="176">
        <f>SUM('Pyöreät kanavat ja osat'!U75)</f>
        <v>0</v>
      </c>
      <c r="P77" s="367">
        <f>SUM(O77*0.58)</f>
        <v>0</v>
      </c>
      <c r="Q77" s="367">
        <v>1.98</v>
      </c>
      <c r="R77" s="178">
        <f>SUM('Pyöreät kanavat ja osat'!U89)</f>
        <v>0</v>
      </c>
      <c r="S77" s="97">
        <f>SUM(R77*1.98)</f>
        <v>0</v>
      </c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</row>
    <row r="78" spans="1:52" ht="15" customHeight="1" x14ac:dyDescent="0.2">
      <c r="A78" s="218">
        <v>315</v>
      </c>
      <c r="B78" s="367">
        <v>0.28000000000000003</v>
      </c>
      <c r="C78" s="302">
        <f>SUM('Pyöreät kanavat ja osat'!U12)</f>
        <v>0</v>
      </c>
      <c r="D78" s="367">
        <f>SUM(C78*0.28)</f>
        <v>0</v>
      </c>
      <c r="E78" s="367">
        <v>0.6</v>
      </c>
      <c r="F78" s="302">
        <f>SUM('Pyöreät kanavat ja osat'!U29)</f>
        <v>0</v>
      </c>
      <c r="G78" s="367">
        <f>SUM(F78*0.6)</f>
        <v>0</v>
      </c>
      <c r="H78" s="367">
        <v>0.93</v>
      </c>
      <c r="I78" s="302">
        <f>SUM('Pyöreät kanavat ja osat'!U48)</f>
        <v>0</v>
      </c>
      <c r="J78" s="367">
        <f>SUM(I78*0.93)</f>
        <v>0</v>
      </c>
      <c r="K78" s="367">
        <v>0.44</v>
      </c>
      <c r="L78" s="176">
        <f>SUM('Pyöreät kanavat ja osat'!U62)</f>
        <v>0</v>
      </c>
      <c r="M78" s="367">
        <f>SUM(L78*0.44)</f>
        <v>0</v>
      </c>
      <c r="N78" s="367">
        <v>0.75</v>
      </c>
      <c r="O78" s="176">
        <f>SUM('Pyöreät kanavat ja osat'!U76)</f>
        <v>0</v>
      </c>
      <c r="P78" s="367">
        <f>SUM(O78*0.75)</f>
        <v>0</v>
      </c>
      <c r="Q78" s="367">
        <v>1.98</v>
      </c>
      <c r="R78" s="178">
        <f>SUM('Pyöreät kanavat ja osat'!U90)</f>
        <v>0</v>
      </c>
      <c r="S78" s="97">
        <f>SUM(R78*1.98)</f>
        <v>0</v>
      </c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</row>
    <row r="79" spans="1:52" ht="15" customHeight="1" x14ac:dyDescent="0.2">
      <c r="A79" s="218">
        <v>400</v>
      </c>
      <c r="B79" s="367">
        <v>0.32</v>
      </c>
      <c r="C79" s="302">
        <f>SUM('Pyöreät kanavat ja osat'!U13)</f>
        <v>0</v>
      </c>
      <c r="D79" s="367">
        <f>SUM(C79*0.32)</f>
        <v>0</v>
      </c>
      <c r="E79" s="367">
        <v>0.68</v>
      </c>
      <c r="F79" s="302">
        <f>SUM('Pyöreät kanavat ja osat'!U30)</f>
        <v>0</v>
      </c>
      <c r="G79" s="367">
        <f>SUM(F79*0.68)</f>
        <v>0</v>
      </c>
      <c r="H79" s="367">
        <v>1.06</v>
      </c>
      <c r="I79" s="302">
        <f>SUM('Pyöreät kanavat ja osat'!U49)</f>
        <v>0</v>
      </c>
      <c r="J79" s="367">
        <f>SUM(I79*1.06)</f>
        <v>0</v>
      </c>
      <c r="K79" s="367">
        <v>0.53</v>
      </c>
      <c r="L79" s="176">
        <f>SUM('Pyöreät kanavat ja osat'!U63)</f>
        <v>0</v>
      </c>
      <c r="M79" s="367">
        <f>SUM(L79*0.53)</f>
        <v>0</v>
      </c>
      <c r="N79" s="367">
        <v>0.96</v>
      </c>
      <c r="O79" s="176">
        <f>SUM('Pyöreät kanavat ja osat'!U77)</f>
        <v>0</v>
      </c>
      <c r="P79" s="367">
        <f>SUM(O79*0.96)</f>
        <v>0</v>
      </c>
      <c r="Q79" s="367">
        <v>2.84</v>
      </c>
      <c r="R79" s="178">
        <f>SUM('Pyöreät kanavat ja osat'!U91)</f>
        <v>0</v>
      </c>
      <c r="S79" s="97">
        <f>SUM(R79*2.84)</f>
        <v>0</v>
      </c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</row>
    <row r="80" spans="1:52" ht="15" customHeight="1" x14ac:dyDescent="0.2">
      <c r="A80" s="218">
        <v>500</v>
      </c>
      <c r="B80" s="367">
        <v>0.41</v>
      </c>
      <c r="C80" s="302">
        <f>SUM('Pyöreät kanavat ja osat'!U14)</f>
        <v>0</v>
      </c>
      <c r="D80" s="367">
        <f>SUM(C80*0.41)</f>
        <v>0</v>
      </c>
      <c r="E80" s="367">
        <v>0.84</v>
      </c>
      <c r="F80" s="302">
        <f>SUM('Pyöreät kanavat ja osat'!U31)</f>
        <v>0</v>
      </c>
      <c r="G80" s="367">
        <f>SUM(F80*0.84)</f>
        <v>0</v>
      </c>
      <c r="H80" s="367">
        <v>1.34</v>
      </c>
      <c r="I80" s="302">
        <f>SUM('Pyöreät kanavat ja osat'!U50)</f>
        <v>0</v>
      </c>
      <c r="J80" s="367">
        <f>SUM(I80*1.34)</f>
        <v>0</v>
      </c>
      <c r="K80" s="367">
        <v>0.67</v>
      </c>
      <c r="L80" s="176">
        <f>SUM('Pyöreät kanavat ja osat'!U64)</f>
        <v>0</v>
      </c>
      <c r="M80" s="367">
        <f>SUM(L80*0.67)</f>
        <v>0</v>
      </c>
      <c r="N80" s="367">
        <v>1.03</v>
      </c>
      <c r="O80" s="176">
        <f>SUM('Pyöreät kanavat ja osat'!U78)</f>
        <v>0</v>
      </c>
      <c r="P80" s="367">
        <f>SUM(O80*1.03)</f>
        <v>0</v>
      </c>
      <c r="Q80" s="367">
        <v>2.84</v>
      </c>
      <c r="R80" s="178">
        <f>SUM('Pyöreät kanavat ja osat'!U92)</f>
        <v>0</v>
      </c>
      <c r="S80" s="97">
        <f>SUM(R80*2.84)</f>
        <v>0</v>
      </c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</row>
    <row r="81" spans="1:52" ht="15" customHeight="1" x14ac:dyDescent="0.2">
      <c r="A81" s="218">
        <v>630</v>
      </c>
      <c r="B81" s="367">
        <v>0.54</v>
      </c>
      <c r="C81" s="302">
        <f>SUM('Pyöreät kanavat ja osat'!U15)</f>
        <v>0</v>
      </c>
      <c r="D81" s="367">
        <f>SUM(C81*0.54)</f>
        <v>0</v>
      </c>
      <c r="E81" s="367">
        <v>1.08</v>
      </c>
      <c r="F81" s="302">
        <f>SUM('Pyöreät kanavat ja osat'!U32)</f>
        <v>0</v>
      </c>
      <c r="G81" s="367">
        <f>SUM(F81*1.08)</f>
        <v>0</v>
      </c>
      <c r="H81" s="367">
        <v>1.69</v>
      </c>
      <c r="I81" s="302">
        <f>SUM('Pyöreät kanavat ja osat'!U51)</f>
        <v>0</v>
      </c>
      <c r="J81" s="367">
        <f>SUM(I81*1.69)</f>
        <v>0</v>
      </c>
      <c r="K81" s="367">
        <v>0.8</v>
      </c>
      <c r="L81" s="176">
        <f>SUM('Pyöreät kanavat ja osat'!U65)</f>
        <v>0</v>
      </c>
      <c r="M81" s="367">
        <f>SUM(L81*0.8)</f>
        <v>0</v>
      </c>
      <c r="N81" s="367">
        <v>1.46</v>
      </c>
      <c r="O81" s="176">
        <f>SUM('Pyöreät kanavat ja osat'!U79)</f>
        <v>0</v>
      </c>
      <c r="P81" s="367">
        <f>SUM(O81*1.46)</f>
        <v>0</v>
      </c>
      <c r="Q81" s="367">
        <v>2.84</v>
      </c>
      <c r="R81" s="178">
        <f>SUM('Pyöreät kanavat ja osat'!U93)</f>
        <v>0</v>
      </c>
      <c r="S81" s="97">
        <f>SUM(R81*2.84)</f>
        <v>0</v>
      </c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</row>
    <row r="82" spans="1:52" ht="15" customHeight="1" x14ac:dyDescent="0.2">
      <c r="A82" s="223">
        <v>800</v>
      </c>
      <c r="B82" s="367">
        <v>0.6</v>
      </c>
      <c r="C82" s="302">
        <f>SUM('Pyöreät kanavat ja osat'!U16)</f>
        <v>0</v>
      </c>
      <c r="D82" s="367">
        <f>SUM(C82*0.6)</f>
        <v>0</v>
      </c>
      <c r="E82" s="367">
        <v>1.3</v>
      </c>
      <c r="F82" s="302">
        <f>SUM('Pyöreät kanavat ja osat'!U33)</f>
        <v>0</v>
      </c>
      <c r="G82" s="367">
        <f>SUM(F82*1.3)</f>
        <v>0</v>
      </c>
      <c r="H82" s="367">
        <v>2.04</v>
      </c>
      <c r="I82" s="302">
        <f>SUM('Pyöreät kanavat ja osat'!U52)</f>
        <v>0</v>
      </c>
      <c r="J82" s="367">
        <f>SUM(I82*2.04)</f>
        <v>0</v>
      </c>
      <c r="K82" s="367">
        <v>1.07</v>
      </c>
      <c r="L82" s="176">
        <f>SUM('Pyöreät kanavat ja osat'!U66)</f>
        <v>0</v>
      </c>
      <c r="M82" s="367">
        <f>SUM(L82*1.07)</f>
        <v>0</v>
      </c>
      <c r="N82" s="367">
        <v>1.98</v>
      </c>
      <c r="O82" s="176">
        <f>SUM('Pyöreät kanavat ja osat'!U80)</f>
        <v>0</v>
      </c>
      <c r="P82" s="367">
        <f>SUM(O82*1.98)</f>
        <v>0</v>
      </c>
      <c r="Q82" s="367">
        <v>3.97</v>
      </c>
      <c r="R82" s="178">
        <f>SUM('Pyöreät kanavat ja osat'!U94)</f>
        <v>0</v>
      </c>
      <c r="S82" s="97">
        <f>SUM(R82*3.97)</f>
        <v>0</v>
      </c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</row>
    <row r="83" spans="1:52" ht="15.75" customHeight="1" x14ac:dyDescent="0.2">
      <c r="A83" s="218">
        <v>1000</v>
      </c>
      <c r="B83" s="367">
        <v>1.02</v>
      </c>
      <c r="C83" s="302">
        <f>SUM('Pyöreät kanavat ja osat'!U17)</f>
        <v>0</v>
      </c>
      <c r="D83" s="367">
        <f>SUM(C83*1.02)</f>
        <v>0</v>
      </c>
      <c r="E83" s="367">
        <v>1.6</v>
      </c>
      <c r="F83" s="302">
        <f>SUM('Pyöreät kanavat ja osat'!U34)</f>
        <v>0</v>
      </c>
      <c r="G83" s="367">
        <f>SUM(F83*1.6)</f>
        <v>0</v>
      </c>
      <c r="H83" s="367">
        <v>2.48</v>
      </c>
      <c r="I83" s="302">
        <f>SUM('Pyöreät kanavat ja osat'!U53)</f>
        <v>0</v>
      </c>
      <c r="J83" s="367">
        <f>SUM(I83*2.48)</f>
        <v>0</v>
      </c>
      <c r="K83" s="367">
        <v>1.34</v>
      </c>
      <c r="L83" s="176">
        <f>SUM('Pyöreät kanavat ja osat'!U67)</f>
        <v>0</v>
      </c>
      <c r="M83" s="367">
        <f>SUM(L83*1.34)</f>
        <v>0</v>
      </c>
      <c r="N83" s="367">
        <v>2.65</v>
      </c>
      <c r="O83" s="176">
        <f>SUM('Pyöreät kanavat ja osat'!U81)</f>
        <v>0</v>
      </c>
      <c r="P83" s="367">
        <f>SUM(O83*2.65)</f>
        <v>0</v>
      </c>
      <c r="Q83" s="367">
        <v>3.97</v>
      </c>
      <c r="R83" s="178">
        <f>SUM('Pyöreät kanavat ja osat'!U95)</f>
        <v>0</v>
      </c>
      <c r="S83" s="97">
        <f>SUM(R83*3.97)</f>
        <v>0</v>
      </c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</row>
    <row r="84" spans="1:52" ht="14.25" customHeight="1" x14ac:dyDescent="0.2">
      <c r="A84" s="218">
        <v>1250</v>
      </c>
      <c r="B84" s="367">
        <v>1.34</v>
      </c>
      <c r="C84" s="302">
        <f>SUM('Pyöreät kanavat ja osat'!U18)</f>
        <v>0</v>
      </c>
      <c r="D84" s="367">
        <f>SUM(C84*1.34)</f>
        <v>0</v>
      </c>
      <c r="E84" s="367">
        <v>1.98</v>
      </c>
      <c r="F84" s="302">
        <f>SUM('Pyöreät kanavat ja osat'!U35)</f>
        <v>0</v>
      </c>
      <c r="G84" s="367">
        <f>SUM(F84*1.98)</f>
        <v>0</v>
      </c>
      <c r="H84" s="367">
        <v>2.92</v>
      </c>
      <c r="I84" s="302">
        <f>SUM('Pyöreät kanavat ja osat'!U54)</f>
        <v>0</v>
      </c>
      <c r="J84" s="367">
        <f>SUM(I84*2.92)</f>
        <v>0</v>
      </c>
      <c r="K84" s="367">
        <v>1.79</v>
      </c>
      <c r="L84" s="176">
        <f>SUM('Pyöreät kanavat ja osat'!U68)</f>
        <v>0</v>
      </c>
      <c r="M84" s="367">
        <f>SUM(L84*1.79)</f>
        <v>0</v>
      </c>
      <c r="N84" s="367">
        <v>3.44</v>
      </c>
      <c r="O84" s="176">
        <f>SUM('Pyöreät kanavat ja osat'!U82)</f>
        <v>0</v>
      </c>
      <c r="P84" s="367">
        <f>SUM(O84*3.44)</f>
        <v>0</v>
      </c>
      <c r="Q84" s="367">
        <v>3.97</v>
      </c>
      <c r="R84" s="178">
        <f>SUM('Pyöreät kanavat ja osat'!U96)</f>
        <v>0</v>
      </c>
      <c r="S84" s="97">
        <f>SUM(R84*3.97)</f>
        <v>0</v>
      </c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</row>
    <row r="85" spans="1:52" ht="15" customHeight="1" thickBot="1" x14ac:dyDescent="0.25">
      <c r="A85" s="4"/>
      <c r="B85" s="8"/>
      <c r="C85" s="86" t="s">
        <v>0</v>
      </c>
      <c r="D85" s="675">
        <f>SUM(D75:D84)</f>
        <v>0</v>
      </c>
      <c r="E85" s="177"/>
      <c r="F85" s="177" t="s">
        <v>0</v>
      </c>
      <c r="G85" s="675">
        <f>SUM(G75:G84)</f>
        <v>0</v>
      </c>
      <c r="H85" s="177"/>
      <c r="I85" s="177" t="s">
        <v>0</v>
      </c>
      <c r="J85" s="675">
        <f>SUM(J75:J84)</f>
        <v>0</v>
      </c>
      <c r="K85" s="86"/>
      <c r="L85" s="177" t="s">
        <v>0</v>
      </c>
      <c r="M85" s="675">
        <f>SUM(M75:M84)</f>
        <v>0</v>
      </c>
      <c r="N85" s="86"/>
      <c r="O85" s="177" t="s">
        <v>0</v>
      </c>
      <c r="P85" s="675">
        <f>SUM(P75:P84)</f>
        <v>0</v>
      </c>
      <c r="Q85" s="86"/>
      <c r="R85" s="179" t="s">
        <v>0</v>
      </c>
      <c r="S85" s="676">
        <f>SUM(S75:S84)</f>
        <v>0</v>
      </c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</row>
    <row r="86" spans="1:52" ht="15" customHeight="1" x14ac:dyDescent="0.45">
      <c r="A86" s="4"/>
      <c r="B86" s="3"/>
      <c r="C86" s="3"/>
      <c r="D86" s="3"/>
      <c r="E86" s="3"/>
      <c r="F86" s="8"/>
      <c r="G86" s="79"/>
      <c r="L86" s="8"/>
      <c r="M86" s="8"/>
      <c r="N86" s="8"/>
      <c r="O86" s="8"/>
      <c r="P86" s="8"/>
      <c r="Q86" s="8"/>
      <c r="R86" s="8"/>
      <c r="S86" s="91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</row>
    <row r="87" spans="1:52" ht="15" customHeight="1" x14ac:dyDescent="0.2">
      <c r="G87" s="749" t="s">
        <v>435</v>
      </c>
      <c r="H87" s="321"/>
      <c r="I87" s="153">
        <v>7</v>
      </c>
      <c r="J87" s="154"/>
      <c r="K87" s="151"/>
      <c r="L87" s="436">
        <v>8</v>
      </c>
      <c r="M87" s="436"/>
      <c r="N87" s="321"/>
      <c r="O87" s="437">
        <v>9</v>
      </c>
      <c r="P87" s="438"/>
      <c r="Q87" s="436"/>
      <c r="R87" s="153">
        <v>10</v>
      </c>
      <c r="S87" s="11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</row>
    <row r="88" spans="1:52" ht="15" customHeight="1" x14ac:dyDescent="0.2">
      <c r="E88" s="168"/>
      <c r="G88" s="750"/>
      <c r="H88" s="430"/>
      <c r="I88" s="148"/>
      <c r="J88" s="431"/>
      <c r="K88" s="428"/>
      <c r="L88" s="148"/>
      <c r="M88" s="149"/>
      <c r="N88" s="433"/>
      <c r="O88" s="150"/>
      <c r="P88" s="393"/>
      <c r="Q88" s="17"/>
      <c r="R88" s="148"/>
      <c r="S88" s="12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</row>
    <row r="89" spans="1:52" ht="15" customHeight="1" x14ac:dyDescent="0.2">
      <c r="A89" s="5" t="s">
        <v>146</v>
      </c>
      <c r="G89" s="430" t="s">
        <v>38</v>
      </c>
      <c r="H89" s="430" t="s">
        <v>0</v>
      </c>
      <c r="I89" s="16" t="s">
        <v>145</v>
      </c>
      <c r="J89" s="432" t="s">
        <v>0</v>
      </c>
      <c r="K89" s="32" t="s">
        <v>0</v>
      </c>
      <c r="L89" s="16" t="s">
        <v>145</v>
      </c>
      <c r="M89" s="32" t="s">
        <v>0</v>
      </c>
      <c r="N89" s="430" t="s">
        <v>0</v>
      </c>
      <c r="O89" s="429" t="s">
        <v>145</v>
      </c>
      <c r="P89" s="432" t="s">
        <v>0</v>
      </c>
      <c r="Q89" s="32" t="s">
        <v>0</v>
      </c>
      <c r="R89" s="429" t="s">
        <v>145</v>
      </c>
      <c r="S89" s="434" t="s">
        <v>0</v>
      </c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</row>
    <row r="90" spans="1:52" ht="15.75" customHeight="1" x14ac:dyDescent="0.2">
      <c r="A90" s="5" t="s">
        <v>430</v>
      </c>
      <c r="B90" s="5"/>
      <c r="G90" s="218">
        <v>-125</v>
      </c>
      <c r="H90" s="367">
        <v>0.37</v>
      </c>
      <c r="I90" s="178">
        <f>SUM('Pyöreät kanavat ja osat'!U101)</f>
        <v>0</v>
      </c>
      <c r="J90" s="97">
        <f>SUM(I90*0.37)</f>
        <v>0</v>
      </c>
      <c r="K90" s="97">
        <v>0.28000000000000003</v>
      </c>
      <c r="L90" s="178">
        <f>SUM('Pyöreät kanavat ja osat'!U115)</f>
        <v>0</v>
      </c>
      <c r="M90" s="97">
        <f>SUM(L90*0.28)</f>
        <v>0</v>
      </c>
      <c r="N90" s="97">
        <v>0.7</v>
      </c>
      <c r="O90" s="178">
        <f>SUM('Pyöreät kanavat ja osat'!U130)</f>
        <v>0</v>
      </c>
      <c r="P90" s="97">
        <f>SUM(O90*0.7)</f>
        <v>0</v>
      </c>
      <c r="Q90" s="97">
        <v>0.23</v>
      </c>
      <c r="R90" s="178">
        <f>SUM('Pyöreät kanavat ja osat'!U145)</f>
        <v>0</v>
      </c>
      <c r="S90" s="97">
        <f>SUM(R90*Q90)</f>
        <v>0</v>
      </c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</row>
    <row r="91" spans="1:52" ht="15.75" customHeight="1" x14ac:dyDescent="0.2">
      <c r="A91" s="80" t="s">
        <v>431</v>
      </c>
      <c r="B91" s="5"/>
      <c r="G91" s="218">
        <v>-200</v>
      </c>
      <c r="H91" s="367">
        <v>0.4</v>
      </c>
      <c r="I91" s="178">
        <f>SUM('Pyöreät kanavat ja osat'!U102)</f>
        <v>0</v>
      </c>
      <c r="J91" s="97">
        <f>SUM(I91*0.4)</f>
        <v>0</v>
      </c>
      <c r="K91" s="97">
        <v>0.3</v>
      </c>
      <c r="L91" s="178">
        <f>SUM('Pyöreät kanavat ja osat'!U116)</f>
        <v>0</v>
      </c>
      <c r="M91" s="97">
        <f>SUM(L91*0.3)</f>
        <v>0</v>
      </c>
      <c r="N91" s="97">
        <v>0.75</v>
      </c>
      <c r="O91" s="178">
        <f>SUM('Pyöreät kanavat ja osat'!U131)</f>
        <v>0</v>
      </c>
      <c r="P91" s="97">
        <f>SUM(O91*0.75)</f>
        <v>0</v>
      </c>
      <c r="Q91" s="97">
        <v>0.26</v>
      </c>
      <c r="R91" s="178">
        <f>SUM('Pyöreät kanavat ja osat'!U146)</f>
        <v>0</v>
      </c>
      <c r="S91" s="97">
        <f t="shared" ref="S91:S99" si="0">SUM(R91*Q91)</f>
        <v>0</v>
      </c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</row>
    <row r="92" spans="1:52" ht="15" customHeight="1" x14ac:dyDescent="0.2">
      <c r="A92" s="80" t="s">
        <v>477</v>
      </c>
      <c r="B92" s="5"/>
      <c r="G92" s="218">
        <v>250</v>
      </c>
      <c r="H92" s="367">
        <v>0.48</v>
      </c>
      <c r="I92" s="178">
        <f>SUM('Pyöreät kanavat ja osat'!U103)</f>
        <v>0</v>
      </c>
      <c r="J92" s="97">
        <f>SUM(I92*0.48)</f>
        <v>0</v>
      </c>
      <c r="K92" s="97">
        <v>0.36</v>
      </c>
      <c r="L92" s="178">
        <f>SUM('Pyöreät kanavat ja osat'!U117)</f>
        <v>0</v>
      </c>
      <c r="M92" s="97">
        <f>SUM(L92*0.36)</f>
        <v>0</v>
      </c>
      <c r="N92" s="97">
        <v>0.9</v>
      </c>
      <c r="O92" s="178">
        <f>SUM('Pyöreät kanavat ja osat'!U132)</f>
        <v>0</v>
      </c>
      <c r="P92" s="97">
        <f>SUM(O92*0.9)</f>
        <v>0</v>
      </c>
      <c r="Q92" s="97">
        <v>0.31</v>
      </c>
      <c r="R92" s="178">
        <f>SUM('Pyöreät kanavat ja osat'!U147)</f>
        <v>0</v>
      </c>
      <c r="S92" s="97">
        <f t="shared" si="0"/>
        <v>0</v>
      </c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</row>
    <row r="93" spans="1:52" ht="15" customHeight="1" x14ac:dyDescent="0.2">
      <c r="A93" s="3" t="s">
        <v>432</v>
      </c>
      <c r="B93" s="5"/>
      <c r="G93" s="218">
        <v>315</v>
      </c>
      <c r="H93" s="367">
        <v>0.6</v>
      </c>
      <c r="I93" s="178">
        <f>SUM('Pyöreät kanavat ja osat'!U104)</f>
        <v>0</v>
      </c>
      <c r="J93" s="97">
        <f>SUM(I93*0.6)</f>
        <v>0</v>
      </c>
      <c r="K93" s="97">
        <v>0.45</v>
      </c>
      <c r="L93" s="178">
        <f>SUM('Pyöreät kanavat ja osat'!U118)</f>
        <v>0</v>
      </c>
      <c r="M93" s="97">
        <f>SUM(L93*0.45)</f>
        <v>0</v>
      </c>
      <c r="N93" s="97">
        <v>1.1299999999999999</v>
      </c>
      <c r="O93" s="178">
        <f>SUM('Pyöreät kanavat ja osat'!U133)</f>
        <v>0</v>
      </c>
      <c r="P93" s="97">
        <f>SUM(O93*1.13)</f>
        <v>0</v>
      </c>
      <c r="Q93" s="97">
        <v>0.35</v>
      </c>
      <c r="R93" s="178">
        <f>SUM('Pyöreät kanavat ja osat'!U148)</f>
        <v>0</v>
      </c>
      <c r="S93" s="97">
        <f t="shared" si="0"/>
        <v>0</v>
      </c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</row>
    <row r="94" spans="1:52" ht="15.75" customHeight="1" x14ac:dyDescent="0.2">
      <c r="A94" s="3" t="s">
        <v>472</v>
      </c>
      <c r="B94" s="5"/>
      <c r="G94" s="218">
        <v>400</v>
      </c>
      <c r="H94" s="367">
        <v>0.68</v>
      </c>
      <c r="I94" s="178">
        <f>SUM('Pyöreät kanavat ja osat'!U105)</f>
        <v>0</v>
      </c>
      <c r="J94" s="97">
        <f>SUM(I94*0.68)</f>
        <v>0</v>
      </c>
      <c r="K94" s="97">
        <v>0.51</v>
      </c>
      <c r="L94" s="178">
        <f>SUM('Pyöreät kanavat ja osat'!U119)</f>
        <v>0</v>
      </c>
      <c r="M94" s="97">
        <f>SUM(L94*0.51)</f>
        <v>0</v>
      </c>
      <c r="N94" s="97">
        <v>1.28</v>
      </c>
      <c r="O94" s="178">
        <f>SUM('Pyöreät kanavat ja osat'!U134)</f>
        <v>0</v>
      </c>
      <c r="P94" s="97">
        <f>SUM(O94*1.28)</f>
        <v>0</v>
      </c>
      <c r="Q94" s="97">
        <v>0.4</v>
      </c>
      <c r="R94" s="178">
        <f>SUM('Pyöreät kanavat ja osat'!U149)</f>
        <v>0</v>
      </c>
      <c r="S94" s="97">
        <f t="shared" si="0"/>
        <v>0</v>
      </c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</row>
    <row r="95" spans="1:52" ht="15" customHeight="1" x14ac:dyDescent="0.2">
      <c r="A95" s="3" t="s">
        <v>513</v>
      </c>
      <c r="B95" s="5"/>
      <c r="G95" s="218">
        <v>500</v>
      </c>
      <c r="H95" s="367">
        <v>0.85</v>
      </c>
      <c r="I95" s="178">
        <f>SUM('Pyöreät kanavat ja osat'!U106)</f>
        <v>0</v>
      </c>
      <c r="J95" s="97">
        <f>SUM(I95*0.85)</f>
        <v>0</v>
      </c>
      <c r="K95" s="97">
        <v>0.63</v>
      </c>
      <c r="L95" s="178">
        <f>SUM('Pyöreät kanavat ja osat'!U120)</f>
        <v>0</v>
      </c>
      <c r="M95" s="97">
        <f>SUM(L95*0.63)</f>
        <v>0</v>
      </c>
      <c r="N95" s="97">
        <v>1.58</v>
      </c>
      <c r="O95" s="178">
        <f>SUM('Pyöreät kanavat ja osat'!U135)</f>
        <v>0</v>
      </c>
      <c r="P95" s="97">
        <f>SUM(O95*1.58)</f>
        <v>0</v>
      </c>
      <c r="Q95" s="97">
        <v>0.51</v>
      </c>
      <c r="R95" s="178">
        <f>SUM('Pyöreät kanavat ja osat'!U150)</f>
        <v>0</v>
      </c>
      <c r="S95" s="97">
        <f t="shared" si="0"/>
        <v>0</v>
      </c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</row>
    <row r="96" spans="1:52" ht="15.75" customHeight="1" x14ac:dyDescent="0.2">
      <c r="A96" s="60" t="s">
        <v>429</v>
      </c>
      <c r="B96" s="5"/>
      <c r="G96" s="218">
        <v>630</v>
      </c>
      <c r="H96" s="367">
        <v>0.96</v>
      </c>
      <c r="I96" s="178">
        <f>SUM('Pyöreät kanavat ja osat'!U107)</f>
        <v>0</v>
      </c>
      <c r="J96" s="97">
        <f>SUM(I96*0.96)</f>
        <v>0</v>
      </c>
      <c r="K96" s="97">
        <v>0.8</v>
      </c>
      <c r="L96" s="178">
        <f>SUM('Pyöreät kanavat ja osat'!U121)</f>
        <v>0</v>
      </c>
      <c r="M96" s="97">
        <f>SUM(L96*0.8)</f>
        <v>0</v>
      </c>
      <c r="N96" s="97">
        <v>2</v>
      </c>
      <c r="O96" s="178">
        <f>SUM('Pyöreät kanavat ja osat'!U136)</f>
        <v>0</v>
      </c>
      <c r="P96" s="97">
        <f>SUM(O96*2)</f>
        <v>0</v>
      </c>
      <c r="Q96" s="97">
        <v>0.68</v>
      </c>
      <c r="R96" s="178">
        <f>SUM('Pyöreät kanavat ja osat'!U151)</f>
        <v>0</v>
      </c>
      <c r="S96" s="97">
        <f t="shared" si="0"/>
        <v>0</v>
      </c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</row>
    <row r="97" spans="1:52" ht="15.75" customHeight="1" x14ac:dyDescent="0.2">
      <c r="A97" s="60" t="s">
        <v>229</v>
      </c>
      <c r="B97" s="5"/>
      <c r="G97" s="223">
        <v>800</v>
      </c>
      <c r="H97" s="367">
        <v>1.3</v>
      </c>
      <c r="I97" s="178">
        <f>SUM('Pyöreät kanavat ja osat'!U108)</f>
        <v>0</v>
      </c>
      <c r="J97" s="97">
        <f>SUM(I97*1.3)</f>
        <v>0</v>
      </c>
      <c r="K97" s="97">
        <v>0.97</v>
      </c>
      <c r="L97" s="178">
        <f>SUM('Pyöreät kanavat ja osat'!U122)</f>
        <v>0</v>
      </c>
      <c r="M97" s="97">
        <f>SUM(L97*0.97)</f>
        <v>0</v>
      </c>
      <c r="N97" s="97">
        <v>2.4300000000000002</v>
      </c>
      <c r="O97" s="178">
        <f>SUM('Pyöreät kanavat ja osat'!U137)</f>
        <v>0</v>
      </c>
      <c r="P97" s="97">
        <f>SUM(O97*2.43)</f>
        <v>0</v>
      </c>
      <c r="Q97" s="97">
        <v>0.75</v>
      </c>
      <c r="R97" s="178">
        <f>SUM('Pyöreät kanavat ja osat'!U152)</f>
        <v>0</v>
      </c>
      <c r="S97" s="97">
        <f t="shared" si="0"/>
        <v>0</v>
      </c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</row>
    <row r="98" spans="1:52" ht="15" customHeight="1" x14ac:dyDescent="0.2">
      <c r="A98" s="60" t="s">
        <v>150</v>
      </c>
      <c r="B98" s="5"/>
      <c r="G98" s="218">
        <v>1000</v>
      </c>
      <c r="H98" s="367">
        <v>1.59</v>
      </c>
      <c r="I98" s="178">
        <f>SUM('Pyöreät kanavat ja osat'!U109)</f>
        <v>0</v>
      </c>
      <c r="J98" s="97">
        <f>SUM(I98*1.59)</f>
        <v>0</v>
      </c>
      <c r="K98" s="97">
        <v>1.18</v>
      </c>
      <c r="L98" s="178">
        <f>SUM('Pyöreät kanavat ja osat'!U123)</f>
        <v>0</v>
      </c>
      <c r="M98" s="97">
        <f>SUM(L98*1.18)</f>
        <v>0</v>
      </c>
      <c r="N98" s="97">
        <v>2.9</v>
      </c>
      <c r="O98" s="178">
        <f>SUM('Pyöreät kanavat ja osat'!U138)</f>
        <v>0</v>
      </c>
      <c r="P98" s="97">
        <f>SUM(O98*2.9)</f>
        <v>0</v>
      </c>
      <c r="Q98" s="97">
        <v>1.28</v>
      </c>
      <c r="R98" s="178">
        <f>SUM('Pyöreät kanavat ja osat'!U153)</f>
        <v>0</v>
      </c>
      <c r="S98" s="97">
        <f t="shared" si="0"/>
        <v>0</v>
      </c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</row>
    <row r="99" spans="1:52" ht="15.75" customHeight="1" x14ac:dyDescent="0.2">
      <c r="A99" s="60" t="s">
        <v>433</v>
      </c>
      <c r="B99" s="5"/>
      <c r="G99" s="218">
        <v>1250</v>
      </c>
      <c r="H99" s="367">
        <v>1.87</v>
      </c>
      <c r="I99" s="178">
        <f>SUM('Pyöreät kanavat ja osat'!U110)</f>
        <v>0</v>
      </c>
      <c r="J99" s="97">
        <f>SUM(I99*1.87)</f>
        <v>0</v>
      </c>
      <c r="K99" s="97">
        <v>1.33</v>
      </c>
      <c r="L99" s="178">
        <f>SUM('Pyöreät kanavat ja osat'!U124)</f>
        <v>0</v>
      </c>
      <c r="M99" s="97">
        <f>SUM(L99*1.33)</f>
        <v>0</v>
      </c>
      <c r="N99" s="97">
        <v>3.33</v>
      </c>
      <c r="O99" s="178">
        <f>SUM('Pyöreät kanavat ja osat'!U139)</f>
        <v>0</v>
      </c>
      <c r="P99" s="97">
        <f>SUM(O99*3.33)</f>
        <v>0</v>
      </c>
      <c r="Q99" s="97">
        <v>1.68</v>
      </c>
      <c r="R99" s="178">
        <f>SUM('Pyöreät kanavat ja osat'!U154)</f>
        <v>0</v>
      </c>
      <c r="S99" s="97">
        <f t="shared" si="0"/>
        <v>0</v>
      </c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</row>
    <row r="100" spans="1:52" ht="15.75" customHeight="1" thickBot="1" x14ac:dyDescent="0.25">
      <c r="A100" s="426" t="s">
        <v>434</v>
      </c>
      <c r="B100" s="427"/>
      <c r="E100" s="8"/>
      <c r="G100" s="8"/>
      <c r="H100" s="86"/>
      <c r="I100" s="86" t="s">
        <v>0</v>
      </c>
      <c r="J100" s="675">
        <f>SUM(J90:J99)</f>
        <v>0</v>
      </c>
      <c r="K100" s="59"/>
      <c r="L100" s="167" t="s">
        <v>0</v>
      </c>
      <c r="M100" s="676">
        <f>SUM(M90:M99)</f>
        <v>0</v>
      </c>
      <c r="N100" s="86"/>
      <c r="O100" s="167" t="s">
        <v>0</v>
      </c>
      <c r="P100" s="676">
        <f>SUM(P90:P99)</f>
        <v>0</v>
      </c>
      <c r="Q100" s="86"/>
      <c r="R100" s="167" t="s">
        <v>0</v>
      </c>
      <c r="S100" s="676">
        <f>SUM(S90:S99)</f>
        <v>0</v>
      </c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</row>
    <row r="101" spans="1:52" ht="9" customHeight="1" x14ac:dyDescent="0.45">
      <c r="A101" s="4"/>
      <c r="B101" s="8"/>
      <c r="E101" s="8"/>
      <c r="F101" s="8"/>
      <c r="G101" s="79"/>
      <c r="J101" s="8"/>
      <c r="K101" s="8"/>
      <c r="L101" s="8"/>
      <c r="M101" s="8"/>
      <c r="O101" s="8"/>
      <c r="S101" s="91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</row>
    <row r="102" spans="1:52" ht="19.5" customHeight="1" thickBot="1" x14ac:dyDescent="0.5">
      <c r="A102" s="4"/>
      <c r="B102" s="8"/>
      <c r="E102" s="8"/>
      <c r="F102" s="8"/>
      <c r="G102" s="79"/>
      <c r="J102" s="8"/>
      <c r="K102" s="8"/>
      <c r="L102" s="8"/>
      <c r="M102" s="8"/>
      <c r="N102" s="8"/>
      <c r="O102" s="8"/>
      <c r="P102" s="86" t="s">
        <v>207</v>
      </c>
      <c r="Q102" s="86" t="s">
        <v>0</v>
      </c>
      <c r="R102" s="224">
        <f>SUM(D85+G85+J85+M85+P85+S85+J100+M100+P100+S100)</f>
        <v>0</v>
      </c>
      <c r="S102" s="91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</row>
    <row r="103" spans="1:52" ht="28.5" customHeight="1" x14ac:dyDescent="0.45">
      <c r="A103" s="4"/>
      <c r="B103" s="8"/>
      <c r="E103" s="8"/>
      <c r="F103" s="8"/>
      <c r="G103" s="79"/>
      <c r="J103" s="8"/>
      <c r="K103" s="8"/>
      <c r="L103" s="8"/>
      <c r="M103" s="8"/>
      <c r="N103" s="8"/>
      <c r="O103" s="8"/>
      <c r="P103" s="8"/>
      <c r="Q103" s="8"/>
      <c r="R103" s="92"/>
      <c r="S103" s="91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</row>
    <row r="104" spans="1:52" ht="1.1499999999999999" customHeight="1" x14ac:dyDescent="0.45">
      <c r="A104" s="4"/>
      <c r="B104" s="8"/>
      <c r="E104" s="8"/>
      <c r="F104" s="8"/>
      <c r="G104" s="79"/>
      <c r="J104" s="8"/>
      <c r="K104" s="8"/>
      <c r="L104" s="8"/>
      <c r="M104" s="8"/>
      <c r="N104" s="8"/>
      <c r="O104" s="8"/>
      <c r="P104" s="8"/>
      <c r="Q104" s="8"/>
      <c r="R104" s="92"/>
      <c r="S104" s="91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</row>
    <row r="105" spans="1:52" ht="12" customHeight="1" x14ac:dyDescent="0.45"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</row>
    <row r="106" spans="1:52" ht="8.25" customHeight="1" x14ac:dyDescent="0.45">
      <c r="J106" s="324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</row>
    <row r="107" spans="1:52" ht="14.25" customHeight="1" x14ac:dyDescent="0.45">
      <c r="J107" s="328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</row>
    <row r="108" spans="1:52" ht="15" customHeight="1" x14ac:dyDescent="0.45">
      <c r="J108" s="324" t="s">
        <v>221</v>
      </c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</row>
    <row r="109" spans="1:52" ht="14.25" customHeight="1" x14ac:dyDescent="0.45"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</row>
    <row r="110" spans="1:52" ht="18" customHeight="1" x14ac:dyDescent="0.45">
      <c r="T110" s="109"/>
      <c r="U110" s="157"/>
      <c r="V110" s="157"/>
      <c r="W110" s="157"/>
      <c r="X110" s="157"/>
      <c r="Y110" s="157"/>
      <c r="Z110" s="213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11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</row>
    <row r="111" spans="1:52" ht="14.25" customHeight="1" x14ac:dyDescent="0.45"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</row>
    <row r="112" spans="1:52" ht="18.75" customHeight="1" x14ac:dyDescent="0.45">
      <c r="A112" s="35" t="s">
        <v>227</v>
      </c>
      <c r="B112" s="36"/>
      <c r="C112" s="35" t="s">
        <v>509</v>
      </c>
      <c r="D112" s="8"/>
      <c r="E112" s="8"/>
      <c r="F112" s="8"/>
      <c r="G112" s="79"/>
      <c r="H112" s="8"/>
      <c r="I112" s="8"/>
      <c r="J112" s="8"/>
      <c r="K112" s="8"/>
      <c r="L112" s="8"/>
      <c r="M112" s="8"/>
      <c r="N112" s="8"/>
      <c r="Q112" s="8"/>
      <c r="R112" s="8"/>
      <c r="S112" s="8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</row>
    <row r="113" spans="1:52" ht="15.75" customHeight="1" x14ac:dyDescent="0.45">
      <c r="A113" s="35"/>
      <c r="B113" s="36"/>
      <c r="C113" s="35"/>
      <c r="D113" s="8"/>
      <c r="E113" s="8"/>
      <c r="F113" s="8"/>
      <c r="G113" s="79"/>
      <c r="H113" s="8"/>
      <c r="I113" s="8"/>
      <c r="J113" s="8"/>
      <c r="K113" s="8"/>
      <c r="L113" s="8"/>
      <c r="M113" s="8"/>
      <c r="N113" s="8"/>
      <c r="Q113" s="8"/>
      <c r="R113" s="8"/>
      <c r="S113" s="8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</row>
    <row r="114" spans="1:52" ht="15.75" customHeight="1" x14ac:dyDescent="0.45">
      <c r="A114" s="4"/>
      <c r="B114" s="8"/>
      <c r="C114" s="8"/>
      <c r="D114" s="8"/>
      <c r="E114" s="8"/>
      <c r="F114" s="8"/>
      <c r="G114" s="79"/>
      <c r="H114" s="8"/>
      <c r="I114" s="8"/>
      <c r="J114" s="8"/>
      <c r="K114" s="8"/>
      <c r="L114" s="8"/>
      <c r="M114" s="8"/>
      <c r="N114" s="8"/>
      <c r="Q114" s="8"/>
      <c r="R114" s="8"/>
      <c r="S114" s="8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</row>
    <row r="115" spans="1:52" ht="15.75" customHeight="1" x14ac:dyDescent="0.45">
      <c r="A115" s="80" t="s">
        <v>147</v>
      </c>
      <c r="B115" s="5"/>
      <c r="C115" s="5"/>
      <c r="D115" s="5"/>
      <c r="J115" s="5" t="s">
        <v>205</v>
      </c>
      <c r="O115" s="80" t="s">
        <v>500</v>
      </c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</row>
    <row r="116" spans="1:52" ht="15.75" customHeight="1" x14ac:dyDescent="0.45">
      <c r="B116" s="5"/>
      <c r="C116" s="5"/>
      <c r="D116" s="5"/>
      <c r="H116" s="15"/>
      <c r="J116" s="15"/>
      <c r="K116" s="15"/>
      <c r="L116" s="15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</row>
    <row r="117" spans="1:52" ht="15.75" customHeight="1" x14ac:dyDescent="0.2">
      <c r="B117" s="18"/>
      <c r="C117" s="9"/>
      <c r="D117" s="211" t="s">
        <v>3</v>
      </c>
      <c r="E117" s="218" t="s">
        <v>4</v>
      </c>
      <c r="F117" s="218" t="s">
        <v>145</v>
      </c>
      <c r="G117" s="435" t="s">
        <v>0</v>
      </c>
      <c r="J117" s="56" t="s">
        <v>45</v>
      </c>
      <c r="K117" s="57"/>
      <c r="L117" s="14" t="s">
        <v>123</v>
      </c>
      <c r="M117" s="13" t="s">
        <v>145</v>
      </c>
      <c r="N117" s="13" t="s">
        <v>0</v>
      </c>
      <c r="P117" s="658" t="s">
        <v>123</v>
      </c>
      <c r="Q117" s="13" t="s">
        <v>145</v>
      </c>
      <c r="R117" s="13" t="s">
        <v>0</v>
      </c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</row>
    <row r="118" spans="1:52" ht="15.75" customHeight="1" x14ac:dyDescent="0.2">
      <c r="B118" s="698" t="s">
        <v>148</v>
      </c>
      <c r="C118" s="699"/>
      <c r="D118" s="218">
        <v>-400</v>
      </c>
      <c r="E118" s="218">
        <v>0.43</v>
      </c>
      <c r="F118" s="178">
        <f>SUM('Pyöreät kanavat ja osat'!U165)</f>
        <v>0</v>
      </c>
      <c r="G118" s="97">
        <f>SUM(E118*F118)</f>
        <v>0</v>
      </c>
      <c r="J118" s="697" t="s">
        <v>521</v>
      </c>
      <c r="K118" s="697"/>
      <c r="L118" s="443">
        <v>0.96</v>
      </c>
      <c r="M118" s="649">
        <f>SUM('Pyöreät kanavat ja osat'!U182)</f>
        <v>0</v>
      </c>
      <c r="N118" s="650">
        <f>SUM(L118*M118)</f>
        <v>0</v>
      </c>
      <c r="P118" s="656">
        <v>0.1</v>
      </c>
      <c r="Q118" s="178">
        <f>SUM('Pyöreät kanavat ja osat'!U159)</f>
        <v>0</v>
      </c>
      <c r="R118" s="656">
        <f>SUM(P118*Q118)</f>
        <v>0</v>
      </c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</row>
    <row r="119" spans="1:52" ht="15.75" customHeight="1" x14ac:dyDescent="0.2">
      <c r="B119" s="700" t="s">
        <v>149</v>
      </c>
      <c r="C119" s="701"/>
      <c r="D119" s="218">
        <v>-400</v>
      </c>
      <c r="E119" s="218">
        <v>0.86</v>
      </c>
      <c r="F119" s="178">
        <f>SUM('Pyöreät kanavat ja osat'!U168)</f>
        <v>0</v>
      </c>
      <c r="G119" s="97">
        <f t="shared" ref="G119:G121" si="1">SUM(E119*F119)</f>
        <v>0</v>
      </c>
      <c r="J119" s="697" t="s">
        <v>522</v>
      </c>
      <c r="K119" s="697"/>
      <c r="L119" s="443">
        <v>1.0900000000000001</v>
      </c>
      <c r="M119" s="649">
        <f>SUM('Pyöreät kanavat ja osat'!U183)</f>
        <v>0</v>
      </c>
      <c r="N119" s="650">
        <f t="shared" ref="N119:N127" si="2">SUM(L119*M119)</f>
        <v>0</v>
      </c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</row>
    <row r="120" spans="1:52" ht="15.75" customHeight="1" x14ac:dyDescent="0.2">
      <c r="B120" s="702" t="s">
        <v>148</v>
      </c>
      <c r="C120" s="703"/>
      <c r="D120" s="218" t="s">
        <v>55</v>
      </c>
      <c r="E120" s="218">
        <v>0.55000000000000004</v>
      </c>
      <c r="F120" s="178">
        <f>SUM('Pyöreät kanavat ja osat'!U166)</f>
        <v>0</v>
      </c>
      <c r="G120" s="97">
        <f t="shared" si="1"/>
        <v>0</v>
      </c>
      <c r="J120" s="697" t="s">
        <v>523</v>
      </c>
      <c r="K120" s="697"/>
      <c r="L120" s="443">
        <v>1.45</v>
      </c>
      <c r="M120" s="649">
        <f>SUM('Pyöreät kanavat ja osat'!U184)</f>
        <v>0</v>
      </c>
      <c r="N120" s="650">
        <f t="shared" si="2"/>
        <v>0</v>
      </c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</row>
    <row r="121" spans="1:52" ht="15.75" customHeight="1" x14ac:dyDescent="0.2">
      <c r="B121" s="698" t="s">
        <v>149</v>
      </c>
      <c r="C121" s="699"/>
      <c r="D121" s="218" t="s">
        <v>55</v>
      </c>
      <c r="E121" s="218">
        <v>1.01</v>
      </c>
      <c r="F121" s="178">
        <f>SUM('Pyöreät kanavat ja osat'!U169)</f>
        <v>0</v>
      </c>
      <c r="G121" s="97">
        <f t="shared" si="1"/>
        <v>0</v>
      </c>
      <c r="J121" s="697" t="s">
        <v>524</v>
      </c>
      <c r="K121" s="697"/>
      <c r="L121" s="443">
        <v>1.72</v>
      </c>
      <c r="M121" s="649">
        <f>SUM('Pyöreät kanavat ja osat'!U185)</f>
        <v>0</v>
      </c>
      <c r="N121" s="650">
        <f t="shared" si="2"/>
        <v>0</v>
      </c>
      <c r="Q121" s="15"/>
      <c r="R121" s="15"/>
      <c r="S121" s="15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</row>
    <row r="122" spans="1:52" ht="16.5" customHeight="1" x14ac:dyDescent="0.45">
      <c r="B122" s="5"/>
      <c r="C122" s="5"/>
      <c r="D122" s="5"/>
      <c r="E122" s="5"/>
      <c r="F122" s="168"/>
      <c r="G122" s="169"/>
      <c r="H122" s="15"/>
      <c r="J122" s="697" t="s">
        <v>525</v>
      </c>
      <c r="K122" s="697"/>
      <c r="L122" s="443">
        <v>2.06</v>
      </c>
      <c r="M122" s="649">
        <f>SUM('Pyöreät kanavat ja osat'!U186)</f>
        <v>0</v>
      </c>
      <c r="N122" s="650">
        <f t="shared" si="2"/>
        <v>0</v>
      </c>
      <c r="Q122" s="15"/>
      <c r="R122" s="15"/>
      <c r="S122" s="15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</row>
    <row r="123" spans="1:52" ht="14.25" customHeight="1" thickBot="1" x14ac:dyDescent="0.25">
      <c r="B123" s="5"/>
      <c r="C123" s="5"/>
      <c r="D123" s="5"/>
      <c r="F123" s="170" t="s">
        <v>0</v>
      </c>
      <c r="G123" s="674">
        <f>SUM(G118:G121)</f>
        <v>0</v>
      </c>
      <c r="H123" s="15"/>
      <c r="J123" s="697" t="s">
        <v>526</v>
      </c>
      <c r="K123" s="697"/>
      <c r="L123" s="651">
        <v>2.4</v>
      </c>
      <c r="M123" s="649">
        <f>SUM('Pyöreät kanavat ja osat'!U187)</f>
        <v>0</v>
      </c>
      <c r="N123" s="650">
        <f t="shared" si="2"/>
        <v>0</v>
      </c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</row>
    <row r="124" spans="1:52" ht="15.75" customHeight="1" x14ac:dyDescent="0.45">
      <c r="A124" s="5" t="s">
        <v>67</v>
      </c>
      <c r="B124" s="5"/>
      <c r="C124" s="5"/>
      <c r="D124" s="5"/>
      <c r="J124" s="697" t="s">
        <v>527</v>
      </c>
      <c r="K124" s="697"/>
      <c r="L124" s="443">
        <v>2.72</v>
      </c>
      <c r="M124" s="649">
        <f>SUM('Pyöreät kanavat ja osat'!U188)</f>
        <v>0</v>
      </c>
      <c r="N124" s="650">
        <f t="shared" si="2"/>
        <v>0</v>
      </c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</row>
    <row r="125" spans="1:52" ht="15.75" customHeight="1" x14ac:dyDescent="0.45">
      <c r="B125" s="4"/>
      <c r="J125" s="752" t="s">
        <v>498</v>
      </c>
      <c r="K125" s="697"/>
      <c r="L125" s="443">
        <v>3.25</v>
      </c>
      <c r="M125" s="649">
        <f>SUM('Pyöreät kanavat ja osat'!U189)</f>
        <v>0</v>
      </c>
      <c r="N125" s="650">
        <f t="shared" si="2"/>
        <v>0</v>
      </c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</row>
    <row r="126" spans="1:52" ht="15.75" customHeight="1" x14ac:dyDescent="0.45">
      <c r="C126" s="5" t="s">
        <v>415</v>
      </c>
      <c r="D126" s="4"/>
      <c r="J126" s="697" t="s">
        <v>528</v>
      </c>
      <c r="K126" s="697"/>
      <c r="L126" s="443">
        <v>4.05</v>
      </c>
      <c r="M126" s="649">
        <f>SUM('Pyöreät kanavat ja osat'!U190)</f>
        <v>0</v>
      </c>
      <c r="N126" s="650">
        <f t="shared" si="2"/>
        <v>0</v>
      </c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</row>
    <row r="127" spans="1:52" ht="15.75" customHeight="1" x14ac:dyDescent="0.45">
      <c r="J127" s="697" t="s">
        <v>124</v>
      </c>
      <c r="K127" s="697"/>
      <c r="L127" s="651">
        <v>4.5</v>
      </c>
      <c r="M127" s="649">
        <f>SUM('Pyöreät kanavat ja osat'!U191)</f>
        <v>0</v>
      </c>
      <c r="N127" s="650">
        <f t="shared" si="2"/>
        <v>0</v>
      </c>
      <c r="Q127" s="15"/>
      <c r="R127" s="15"/>
      <c r="S127" s="15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</row>
    <row r="128" spans="1:52" ht="15.75" customHeight="1" x14ac:dyDescent="0.45">
      <c r="D128" s="443" t="s">
        <v>54</v>
      </c>
      <c r="E128" s="425">
        <v>1</v>
      </c>
      <c r="M128" s="171"/>
      <c r="N128" s="171"/>
      <c r="O128" s="15"/>
      <c r="R128" s="15"/>
      <c r="S128" s="15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</row>
    <row r="129" spans="1:52" ht="15.75" customHeight="1" thickBot="1" x14ac:dyDescent="0.25">
      <c r="D129" s="56" t="s">
        <v>45</v>
      </c>
      <c r="E129" s="13" t="s">
        <v>0</v>
      </c>
      <c r="F129" s="13" t="s">
        <v>145</v>
      </c>
      <c r="G129" s="435" t="s">
        <v>0</v>
      </c>
      <c r="M129" s="170" t="s">
        <v>0</v>
      </c>
      <c r="N129" s="674">
        <f>SUM(N118:N127)</f>
        <v>0</v>
      </c>
      <c r="R129" s="15"/>
      <c r="S129" s="15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</row>
    <row r="130" spans="1:52" ht="15.75" customHeight="1" x14ac:dyDescent="0.2">
      <c r="D130" s="56">
        <v>-125</v>
      </c>
      <c r="E130" s="13">
        <v>0.38</v>
      </c>
      <c r="F130" s="178">
        <f>SUM('Pyöreät kanavat ja osat'!U174)</f>
        <v>0</v>
      </c>
      <c r="G130" s="97">
        <f>SUM(E130*F130)</f>
        <v>0</v>
      </c>
      <c r="R130" s="15"/>
      <c r="S130" s="15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</row>
    <row r="131" spans="1:52" ht="15.75" customHeight="1" x14ac:dyDescent="0.2">
      <c r="D131" s="56">
        <v>-200</v>
      </c>
      <c r="E131" s="22">
        <v>0.48</v>
      </c>
      <c r="F131" s="178">
        <f>SUM('Pyöreät kanavat ja osat'!U175)</f>
        <v>0</v>
      </c>
      <c r="G131" s="97">
        <f t="shared" ref="G131:G133" si="3">SUM(E131*F131)</f>
        <v>0</v>
      </c>
      <c r="R131" s="15"/>
      <c r="S131" s="15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</row>
    <row r="132" spans="1:52" ht="15.75" customHeight="1" x14ac:dyDescent="0.2">
      <c r="D132" s="56">
        <v>250</v>
      </c>
      <c r="E132" s="22">
        <v>0.54</v>
      </c>
      <c r="F132" s="178">
        <f>SUM('Pyöreät kanavat ja osat'!U176)</f>
        <v>0</v>
      </c>
      <c r="G132" s="97">
        <f t="shared" si="3"/>
        <v>0</v>
      </c>
      <c r="R132" s="15"/>
      <c r="S132" s="15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</row>
    <row r="133" spans="1:52" ht="15.75" customHeight="1" x14ac:dyDescent="0.2">
      <c r="D133" s="56">
        <v>315</v>
      </c>
      <c r="E133" s="22">
        <v>0.61</v>
      </c>
      <c r="F133" s="178">
        <f>SUM('Pyöreät kanavat ja osat'!U177)</f>
        <v>0</v>
      </c>
      <c r="G133" s="97">
        <f t="shared" si="3"/>
        <v>0</v>
      </c>
      <c r="L133" s="80"/>
      <c r="R133" s="15"/>
      <c r="S133" s="15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</row>
    <row r="134" spans="1:52" ht="18.75" customHeight="1" x14ac:dyDescent="0.45">
      <c r="B134" s="5"/>
      <c r="D134" s="5"/>
      <c r="E134" s="5"/>
      <c r="F134" s="171"/>
      <c r="G134" s="172"/>
      <c r="R134" s="15"/>
      <c r="S134" s="15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</row>
    <row r="135" spans="1:52" ht="20.25" customHeight="1" thickBot="1" x14ac:dyDescent="0.25">
      <c r="B135" s="5"/>
      <c r="C135" s="5"/>
      <c r="D135" s="5"/>
      <c r="E135" s="89"/>
      <c r="F135" s="170" t="s">
        <v>0</v>
      </c>
      <c r="G135" s="674">
        <f>SUM(G130:G133)</f>
        <v>0</v>
      </c>
      <c r="H135" s="59"/>
      <c r="R135" s="15"/>
      <c r="S135" s="15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</row>
    <row r="136" spans="1:52" ht="18.75" customHeight="1" thickBot="1" x14ac:dyDescent="0.5">
      <c r="O136" s="88"/>
      <c r="P136" s="89" t="s">
        <v>207</v>
      </c>
      <c r="Q136" s="89" t="s">
        <v>0</v>
      </c>
      <c r="R136" s="657">
        <f>SUM(G123+N129+G135+R118)</f>
        <v>0</v>
      </c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</row>
    <row r="137" spans="1:52" ht="38.450000000000003" customHeight="1" x14ac:dyDescent="0.45">
      <c r="R137" s="80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</row>
    <row r="138" spans="1:52" ht="1.5" hidden="1" customHeight="1" x14ac:dyDescent="0.45">
      <c r="A138" s="30"/>
      <c r="S138" s="31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</row>
    <row r="139" spans="1:52" ht="3" hidden="1" customHeight="1" thickBot="1" x14ac:dyDescent="0.5"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</row>
    <row r="140" spans="1:52" ht="10.5" customHeight="1" x14ac:dyDescent="0.45"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</row>
    <row r="141" spans="1:52" ht="18.75" customHeight="1" x14ac:dyDescent="0.25">
      <c r="A141" s="93" t="s">
        <v>508</v>
      </c>
      <c r="B141" s="5"/>
      <c r="C141" s="93"/>
      <c r="D141" s="5"/>
      <c r="E141" s="46"/>
      <c r="F141" s="5"/>
      <c r="G141" s="5"/>
      <c r="J141" s="325" t="s">
        <v>221</v>
      </c>
      <c r="N141" s="60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</row>
    <row r="142" spans="1:52" ht="15.75" customHeight="1" x14ac:dyDescent="0.25">
      <c r="A142"/>
      <c r="B142" s="35" t="s">
        <v>365</v>
      </c>
      <c r="C142" s="46"/>
      <c r="D142" s="5"/>
      <c r="E142" s="46"/>
      <c r="F142" s="5"/>
      <c r="G142" s="5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</row>
    <row r="143" spans="1:52" ht="4.5" customHeight="1" x14ac:dyDescent="0.2">
      <c r="B143" s="5"/>
      <c r="C143" s="5"/>
      <c r="D143" s="46"/>
      <c r="E143" s="5"/>
      <c r="F143" s="46"/>
      <c r="G143" s="5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</row>
    <row r="144" spans="1:52" ht="15.75" customHeight="1" x14ac:dyDescent="0.2">
      <c r="A144" s="41"/>
      <c r="B144" s="2"/>
      <c r="C144" s="2" t="s">
        <v>54</v>
      </c>
      <c r="D144" s="439" t="s">
        <v>67</v>
      </c>
      <c r="E144" s="153">
        <v>1</v>
      </c>
      <c r="F144" s="440"/>
      <c r="G144" s="155" t="s">
        <v>67</v>
      </c>
      <c r="H144" s="153">
        <v>2</v>
      </c>
      <c r="I144" s="154"/>
      <c r="J144" s="439" t="s">
        <v>67</v>
      </c>
      <c r="K144" s="153">
        <v>3</v>
      </c>
      <c r="L144" s="154"/>
      <c r="M144" s="153" t="s">
        <v>67</v>
      </c>
      <c r="N144" s="153">
        <v>4</v>
      </c>
      <c r="O144" s="154"/>
      <c r="P144" s="688" t="s">
        <v>500</v>
      </c>
      <c r="Q144" s="688"/>
      <c r="R144" s="688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</row>
    <row r="145" spans="1:52" ht="15.75" customHeight="1" x14ac:dyDescent="0.2">
      <c r="A145" s="41"/>
      <c r="B145" s="17" t="s">
        <v>217</v>
      </c>
      <c r="C145" s="17"/>
      <c r="D145" s="441" t="s">
        <v>153</v>
      </c>
      <c r="E145" s="16" t="s">
        <v>139</v>
      </c>
      <c r="F145" s="33" t="s">
        <v>0</v>
      </c>
      <c r="G145" s="48" t="s">
        <v>153</v>
      </c>
      <c r="H145" s="45" t="s">
        <v>139</v>
      </c>
      <c r="I145" s="58" t="s">
        <v>0</v>
      </c>
      <c r="J145" s="441"/>
      <c r="K145" s="16" t="s">
        <v>145</v>
      </c>
      <c r="L145" s="33" t="s">
        <v>0</v>
      </c>
      <c r="M145" s="16"/>
      <c r="N145" s="16" t="s">
        <v>145</v>
      </c>
      <c r="O145" s="33" t="s">
        <v>0</v>
      </c>
      <c r="P145" s="688"/>
      <c r="Q145" s="688"/>
      <c r="R145" s="688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</row>
    <row r="146" spans="1:52" ht="15.75" customHeight="1" x14ac:dyDescent="0.2">
      <c r="A146" s="41"/>
      <c r="B146" s="1" t="s">
        <v>218</v>
      </c>
      <c r="C146" s="24" t="s">
        <v>154</v>
      </c>
      <c r="D146" s="39">
        <v>0.45</v>
      </c>
      <c r="E146" s="303">
        <f>SUM(Suorakaidekanavat!S5)</f>
        <v>0</v>
      </c>
      <c r="F146" s="97">
        <f>SUM(E146*0.45)</f>
        <v>0</v>
      </c>
      <c r="G146" s="22">
        <v>1.1000000000000001</v>
      </c>
      <c r="H146" s="303">
        <f>SUM(Suorakaidekanavat!S33)</f>
        <v>0</v>
      </c>
      <c r="I146" s="97">
        <f>SUM(H146*1.1)</f>
        <v>0</v>
      </c>
      <c r="J146" s="39">
        <v>0.5</v>
      </c>
      <c r="K146" s="178">
        <f>SUM(Suorakaidekanavat!S61)</f>
        <v>0</v>
      </c>
      <c r="L146" s="97">
        <f>SUM(K146*0.5)</f>
        <v>0</v>
      </c>
      <c r="M146" s="442">
        <v>1</v>
      </c>
      <c r="N146" s="178">
        <f>SUM(Suorakaidekanavat!S89)</f>
        <v>0</v>
      </c>
      <c r="O146" s="97">
        <f>SUM(N146*1)</f>
        <v>0</v>
      </c>
      <c r="P146" s="658" t="s">
        <v>510</v>
      </c>
      <c r="Q146" s="13" t="s">
        <v>145</v>
      </c>
      <c r="R146" s="13" t="s">
        <v>0</v>
      </c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</row>
    <row r="147" spans="1:52" ht="15.75" customHeight="1" x14ac:dyDescent="0.2">
      <c r="A147" s="41"/>
      <c r="C147" s="15" t="s">
        <v>155</v>
      </c>
      <c r="D147" s="39">
        <v>0.54</v>
      </c>
      <c r="E147" s="303">
        <f>SUM(Suorakaidekanavat!S6)</f>
        <v>0</v>
      </c>
      <c r="F147" s="97">
        <f>SUM(E147*0.54)</f>
        <v>0</v>
      </c>
      <c r="G147" s="13">
        <v>1.32</v>
      </c>
      <c r="H147" s="303">
        <f>SUM(Suorakaidekanavat!S34)</f>
        <v>0</v>
      </c>
      <c r="I147" s="97">
        <f>SUM(H147*1.32)</f>
        <v>0</v>
      </c>
      <c r="J147" s="39">
        <v>0.5</v>
      </c>
      <c r="K147" s="178">
        <f>SUM(Suorakaidekanavat!S62)</f>
        <v>0</v>
      </c>
      <c r="L147" s="97">
        <f>SUM(K147*0.5)</f>
        <v>0</v>
      </c>
      <c r="M147" s="175">
        <v>1</v>
      </c>
      <c r="N147" s="178">
        <f>SUM(Suorakaidekanavat!S90)</f>
        <v>0</v>
      </c>
      <c r="O147" s="97">
        <f>SUM(N147*1)</f>
        <v>0</v>
      </c>
      <c r="P147" s="656">
        <v>0.1</v>
      </c>
      <c r="Q147" s="178">
        <f>SUM(Suorakaidekanavat!S116)</f>
        <v>0</v>
      </c>
      <c r="R147" s="669">
        <f>SUM(P147*Q147)</f>
        <v>0</v>
      </c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</row>
    <row r="148" spans="1:52" ht="15.75" customHeight="1" x14ac:dyDescent="0.2">
      <c r="A148" s="41"/>
      <c r="C148" s="15" t="s">
        <v>156</v>
      </c>
      <c r="D148" s="39">
        <v>0.63</v>
      </c>
      <c r="E148" s="303">
        <f>SUM(Suorakaidekanavat!S7)</f>
        <v>0</v>
      </c>
      <c r="F148" s="97">
        <f>SUM(E148*0.63)</f>
        <v>0</v>
      </c>
      <c r="G148" s="22">
        <v>1.4</v>
      </c>
      <c r="H148" s="303">
        <f>SUM(Suorakaidekanavat!S35)</f>
        <v>0</v>
      </c>
      <c r="I148" s="97">
        <f>SUM(H148*1.4)</f>
        <v>0</v>
      </c>
      <c r="J148" s="39">
        <v>0.5</v>
      </c>
      <c r="K148" s="178">
        <f>SUM(Suorakaidekanavat!S63)</f>
        <v>0</v>
      </c>
      <c r="L148" s="97">
        <f>SUM(K148*0.5)</f>
        <v>0</v>
      </c>
      <c r="M148" s="175">
        <v>1</v>
      </c>
      <c r="N148" s="178">
        <f>SUM(Suorakaidekanavat!S91)</f>
        <v>0</v>
      </c>
      <c r="O148" s="97">
        <f>SUM(N148*1)</f>
        <v>0</v>
      </c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</row>
    <row r="149" spans="1:52" ht="15.75" customHeight="1" x14ac:dyDescent="0.2">
      <c r="A149" s="41"/>
      <c r="C149" s="15" t="s">
        <v>157</v>
      </c>
      <c r="D149" s="39">
        <v>0.72</v>
      </c>
      <c r="E149" s="303">
        <f>SUM(Suorakaidekanavat!S8)</f>
        <v>0</v>
      </c>
      <c r="F149" s="97">
        <f>SUM(E149*0.72)</f>
        <v>0</v>
      </c>
      <c r="G149" s="22">
        <v>1.8</v>
      </c>
      <c r="H149" s="303">
        <f>SUM(Suorakaidekanavat!S36)</f>
        <v>0</v>
      </c>
      <c r="I149" s="97">
        <f>SUM(H149*1.8)</f>
        <v>0</v>
      </c>
      <c r="J149" s="39">
        <v>0.5</v>
      </c>
      <c r="K149" s="178">
        <f>SUM(Suorakaidekanavat!S64)</f>
        <v>0</v>
      </c>
      <c r="L149" s="97">
        <f>SUM(K149*0.5)</f>
        <v>0</v>
      </c>
      <c r="M149" s="175">
        <v>1</v>
      </c>
      <c r="N149" s="178">
        <f>SUM(Suorakaidekanavat!S92)</f>
        <v>0</v>
      </c>
      <c r="O149" s="97">
        <f>SUM(N149*1)</f>
        <v>0</v>
      </c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</row>
    <row r="150" spans="1:52" ht="15.75" customHeight="1" x14ac:dyDescent="0.2">
      <c r="A150" s="41"/>
      <c r="B150" s="16"/>
      <c r="C150" s="16" t="s">
        <v>158</v>
      </c>
      <c r="D150" s="39">
        <v>0.81</v>
      </c>
      <c r="E150" s="303">
        <f>SUM(Suorakaidekanavat!S9)</f>
        <v>0</v>
      </c>
      <c r="F150" s="97">
        <f>SUM(E150*0.81)</f>
        <v>0</v>
      </c>
      <c r="G150" s="22">
        <v>2.2000000000000002</v>
      </c>
      <c r="H150" s="303">
        <f>SUM(Suorakaidekanavat!S37)</f>
        <v>0</v>
      </c>
      <c r="I150" s="97">
        <f>SUM(H150*2.2)</f>
        <v>0</v>
      </c>
      <c r="J150" s="39">
        <v>0.5</v>
      </c>
      <c r="K150" s="178">
        <f>SUM(Suorakaidekanavat!S65)</f>
        <v>0</v>
      </c>
      <c r="L150" s="97">
        <f>SUM(K150*0.5)</f>
        <v>0</v>
      </c>
      <c r="M150" s="175">
        <v>1</v>
      </c>
      <c r="N150" s="178">
        <f>SUM(Suorakaidekanavat!S93)</f>
        <v>0</v>
      </c>
      <c r="O150" s="97">
        <f>SUM(N150*1)</f>
        <v>0</v>
      </c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</row>
    <row r="151" spans="1:52" ht="15.75" customHeight="1" x14ac:dyDescent="0.2">
      <c r="A151" s="41"/>
      <c r="B151" s="1" t="s">
        <v>219</v>
      </c>
      <c r="C151" s="24" t="s">
        <v>159</v>
      </c>
      <c r="D151" s="39">
        <v>0.9</v>
      </c>
      <c r="E151" s="303">
        <f>SUM(Suorakaidekanavat!S10)</f>
        <v>0</v>
      </c>
      <c r="F151" s="97">
        <f>SUM(E151*0.9)</f>
        <v>0</v>
      </c>
      <c r="G151" s="22">
        <v>2.2000000000000002</v>
      </c>
      <c r="H151" s="303">
        <f>SUM(Suorakaidekanavat!S38)</f>
        <v>0</v>
      </c>
      <c r="I151" s="97">
        <f>SUM(H151*2.2)</f>
        <v>0</v>
      </c>
      <c r="J151" s="39">
        <v>0.75</v>
      </c>
      <c r="K151" s="178">
        <f>SUM(Suorakaidekanavat!S66)</f>
        <v>0</v>
      </c>
      <c r="L151" s="97">
        <f t="shared" ref="L151:L156" si="4">SUM(K151*0.75)</f>
        <v>0</v>
      </c>
      <c r="M151" s="13">
        <v>1.5</v>
      </c>
      <c r="N151" s="178">
        <f>SUM(Suorakaidekanavat!S94)</f>
        <v>0</v>
      </c>
      <c r="O151" s="97">
        <f t="shared" ref="O151:O156" si="5">SUM(N151*1.5)</f>
        <v>0</v>
      </c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</row>
    <row r="152" spans="1:52" ht="15.75" customHeight="1" x14ac:dyDescent="0.2">
      <c r="A152" s="41"/>
      <c r="C152" s="15" t="s">
        <v>160</v>
      </c>
      <c r="D152" s="39">
        <v>1.08</v>
      </c>
      <c r="E152" s="303">
        <f>SUM(Suorakaidekanavat!S11)</f>
        <v>0</v>
      </c>
      <c r="F152" s="97">
        <f>SUM(E152*1.08)</f>
        <v>0</v>
      </c>
      <c r="G152" s="13">
        <v>2.64</v>
      </c>
      <c r="H152" s="303">
        <f>SUM(Suorakaidekanavat!S39)</f>
        <v>0</v>
      </c>
      <c r="I152" s="97">
        <f>SUM(H152*2.64)</f>
        <v>0</v>
      </c>
      <c r="J152" s="39">
        <v>0.75</v>
      </c>
      <c r="K152" s="178">
        <f>SUM(Suorakaidekanavat!S67)</f>
        <v>0</v>
      </c>
      <c r="L152" s="97">
        <f t="shared" si="4"/>
        <v>0</v>
      </c>
      <c r="M152" s="13">
        <v>1.5</v>
      </c>
      <c r="N152" s="178">
        <f>SUM(Suorakaidekanavat!S95)</f>
        <v>0</v>
      </c>
      <c r="O152" s="97">
        <f t="shared" si="5"/>
        <v>0</v>
      </c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</row>
    <row r="153" spans="1:52" ht="15.75" customHeight="1" x14ac:dyDescent="0.2">
      <c r="A153" s="41"/>
      <c r="C153" s="15" t="s">
        <v>161</v>
      </c>
      <c r="D153" s="39">
        <v>1.26</v>
      </c>
      <c r="E153" s="303">
        <f>SUM(Suorakaidekanavat!S12)</f>
        <v>0</v>
      </c>
      <c r="F153" s="97">
        <f>SUM(E153*1.26)</f>
        <v>0</v>
      </c>
      <c r="G153" s="13">
        <v>3.08</v>
      </c>
      <c r="H153" s="303">
        <f>SUM(Suorakaidekanavat!S40)</f>
        <v>0</v>
      </c>
      <c r="I153" s="97">
        <f>SUM(H153*3.08)</f>
        <v>0</v>
      </c>
      <c r="J153" s="39">
        <v>0.75</v>
      </c>
      <c r="K153" s="178">
        <f>SUM(Suorakaidekanavat!S68)</f>
        <v>0</v>
      </c>
      <c r="L153" s="97">
        <f t="shared" si="4"/>
        <v>0</v>
      </c>
      <c r="M153" s="13">
        <v>1.5</v>
      </c>
      <c r="N153" s="178">
        <f>SUM(Suorakaidekanavat!S96)</f>
        <v>0</v>
      </c>
      <c r="O153" s="97">
        <f t="shared" si="5"/>
        <v>0</v>
      </c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</row>
    <row r="154" spans="1:52" ht="15.75" customHeight="1" x14ac:dyDescent="0.2">
      <c r="A154" s="41"/>
      <c r="C154" s="15" t="s">
        <v>162</v>
      </c>
      <c r="D154" s="39">
        <v>1.44</v>
      </c>
      <c r="E154" s="303">
        <f>SUM(Suorakaidekanavat!S13)</f>
        <v>0</v>
      </c>
      <c r="F154" s="97">
        <f>SUM(E154*1.44)</f>
        <v>0</v>
      </c>
      <c r="G154" s="13">
        <v>3.52</v>
      </c>
      <c r="H154" s="303">
        <f>SUM(Suorakaidekanavat!S41)</f>
        <v>0</v>
      </c>
      <c r="I154" s="97">
        <f>SUM(H154*3.52)</f>
        <v>0</v>
      </c>
      <c r="J154" s="39">
        <v>0.75</v>
      </c>
      <c r="K154" s="178">
        <f>SUM(Suorakaidekanavat!S69)</f>
        <v>0</v>
      </c>
      <c r="L154" s="97">
        <f t="shared" si="4"/>
        <v>0</v>
      </c>
      <c r="M154" s="13">
        <v>1.5</v>
      </c>
      <c r="N154" s="178">
        <f>SUM(Suorakaidekanavat!S97)</f>
        <v>0</v>
      </c>
      <c r="O154" s="97">
        <f t="shared" si="5"/>
        <v>0</v>
      </c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</row>
    <row r="155" spans="1:52" ht="15.75" customHeight="1" x14ac:dyDescent="0.2">
      <c r="A155" s="41"/>
      <c r="C155" s="15" t="s">
        <v>163</v>
      </c>
      <c r="D155" s="39">
        <v>1.62</v>
      </c>
      <c r="E155" s="303">
        <f>SUM(Suorakaidekanavat!S14)</f>
        <v>0</v>
      </c>
      <c r="F155" s="97">
        <f>SUM(E155*1.62)</f>
        <v>0</v>
      </c>
      <c r="G155" s="13">
        <v>3.96</v>
      </c>
      <c r="H155" s="303">
        <f>SUM(Suorakaidekanavat!S42)</f>
        <v>0</v>
      </c>
      <c r="I155" s="97">
        <f>SUM(H155*3.96)</f>
        <v>0</v>
      </c>
      <c r="J155" s="39">
        <v>0.75</v>
      </c>
      <c r="K155" s="178">
        <f>SUM(Suorakaidekanavat!S70)</f>
        <v>0</v>
      </c>
      <c r="L155" s="97">
        <f t="shared" si="4"/>
        <v>0</v>
      </c>
      <c r="M155" s="13">
        <v>1.5</v>
      </c>
      <c r="N155" s="178">
        <f>SUM(Suorakaidekanavat!S98)</f>
        <v>0</v>
      </c>
      <c r="O155" s="97">
        <f t="shared" si="5"/>
        <v>0</v>
      </c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</row>
    <row r="156" spans="1:52" ht="15.75" customHeight="1" x14ac:dyDescent="0.2">
      <c r="A156" s="41"/>
      <c r="B156" s="16"/>
      <c r="C156" s="16" t="s">
        <v>164</v>
      </c>
      <c r="D156" s="39">
        <v>1.71</v>
      </c>
      <c r="E156" s="303">
        <f>SUM(Suorakaidekanavat!S15)</f>
        <v>0</v>
      </c>
      <c r="F156" s="97">
        <f>SUM(E156*1.71)</f>
        <v>0</v>
      </c>
      <c r="G156" s="13">
        <v>4.18</v>
      </c>
      <c r="H156" s="303">
        <f>SUM(Suorakaidekanavat!S43)</f>
        <v>0</v>
      </c>
      <c r="I156" s="97">
        <f>SUM(H156*4.18)</f>
        <v>0</v>
      </c>
      <c r="J156" s="39">
        <v>0.75</v>
      </c>
      <c r="K156" s="178">
        <f>SUM(Suorakaidekanavat!S71)</f>
        <v>0</v>
      </c>
      <c r="L156" s="97">
        <f t="shared" si="4"/>
        <v>0</v>
      </c>
      <c r="M156" s="13">
        <v>1.5</v>
      </c>
      <c r="N156" s="178">
        <f>SUM(Suorakaidekanavat!S99)</f>
        <v>0</v>
      </c>
      <c r="O156" s="97">
        <f t="shared" si="5"/>
        <v>0</v>
      </c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</row>
    <row r="157" spans="1:52" ht="15" customHeight="1" x14ac:dyDescent="0.2">
      <c r="A157" s="41"/>
      <c r="B157" s="1" t="s">
        <v>220</v>
      </c>
      <c r="C157" s="24" t="s">
        <v>165</v>
      </c>
      <c r="D157" s="39">
        <v>1.9</v>
      </c>
      <c r="E157" s="303">
        <f>SUM(Suorakaidekanavat!S16)</f>
        <v>0</v>
      </c>
      <c r="F157" s="97">
        <f>SUM(E157*1.9)</f>
        <v>0</v>
      </c>
      <c r="G157" s="22">
        <v>4.4000000000000004</v>
      </c>
      <c r="H157" s="303">
        <f>SUM(Suorakaidekanavat!S44)</f>
        <v>0</v>
      </c>
      <c r="I157" s="97">
        <f>SUM(H157*4.4)</f>
        <v>0</v>
      </c>
      <c r="J157" s="39">
        <v>1</v>
      </c>
      <c r="K157" s="178">
        <f>SUM(Suorakaidekanavat!S72)</f>
        <v>0</v>
      </c>
      <c r="L157" s="97">
        <f t="shared" ref="L157:L163" si="6">SUM(K157*1)</f>
        <v>0</v>
      </c>
      <c r="M157" s="175">
        <v>2</v>
      </c>
      <c r="N157" s="178">
        <f>SUM(Suorakaidekanavat!S100)</f>
        <v>0</v>
      </c>
      <c r="O157" s="97">
        <f t="shared" ref="O157:O163" si="7">SUM(N157*2)</f>
        <v>0</v>
      </c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</row>
    <row r="158" spans="1:52" ht="15.75" customHeight="1" x14ac:dyDescent="0.2">
      <c r="A158" s="41"/>
      <c r="C158" s="15" t="s">
        <v>166</v>
      </c>
      <c r="D158" s="39">
        <v>1.98</v>
      </c>
      <c r="E158" s="303">
        <f>SUM(Suorakaidekanavat!S17)</f>
        <v>0</v>
      </c>
      <c r="F158" s="97">
        <f>SUM(E158*1.98)</f>
        <v>0</v>
      </c>
      <c r="G158" s="13">
        <v>4.84</v>
      </c>
      <c r="H158" s="303">
        <f>SUM(Suorakaidekanavat!S45)</f>
        <v>0</v>
      </c>
      <c r="I158" s="97">
        <f>SUM(H158*4.84)</f>
        <v>0</v>
      </c>
      <c r="J158" s="39">
        <v>1</v>
      </c>
      <c r="K158" s="178">
        <f>SUM(Suorakaidekanavat!S73)</f>
        <v>0</v>
      </c>
      <c r="L158" s="97">
        <f t="shared" si="6"/>
        <v>0</v>
      </c>
      <c r="M158" s="175">
        <v>2</v>
      </c>
      <c r="N158" s="178">
        <f>SUM(Suorakaidekanavat!S101)</f>
        <v>0</v>
      </c>
      <c r="O158" s="97">
        <f t="shared" si="7"/>
        <v>0</v>
      </c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</row>
    <row r="159" spans="1:52" ht="15.75" customHeight="1" x14ac:dyDescent="0.2">
      <c r="A159" s="41"/>
      <c r="C159" s="15" t="s">
        <v>167</v>
      </c>
      <c r="D159" s="39">
        <v>2.16</v>
      </c>
      <c r="E159" s="303">
        <f>SUM(Suorakaidekanavat!S18)</f>
        <v>0</v>
      </c>
      <c r="F159" s="97">
        <f>SUM(E159*2.16)</f>
        <v>0</v>
      </c>
      <c r="G159" s="13">
        <v>5.28</v>
      </c>
      <c r="H159" s="303">
        <f>SUM(Suorakaidekanavat!S46)</f>
        <v>0</v>
      </c>
      <c r="I159" s="97">
        <f>SUM(H159*5.28)</f>
        <v>0</v>
      </c>
      <c r="J159" s="39">
        <v>1</v>
      </c>
      <c r="K159" s="178">
        <f>SUM(Suorakaidekanavat!S74)</f>
        <v>0</v>
      </c>
      <c r="L159" s="97">
        <f t="shared" si="6"/>
        <v>0</v>
      </c>
      <c r="M159" s="175">
        <v>2</v>
      </c>
      <c r="N159" s="178">
        <f>SUM(Suorakaidekanavat!S102)</f>
        <v>0</v>
      </c>
      <c r="O159" s="97">
        <f t="shared" si="7"/>
        <v>0</v>
      </c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</row>
    <row r="160" spans="1:52" ht="15.75" customHeight="1" x14ac:dyDescent="0.2">
      <c r="A160" s="41"/>
      <c r="C160" s="15" t="s">
        <v>168</v>
      </c>
      <c r="D160" s="39">
        <v>2.25</v>
      </c>
      <c r="E160" s="303">
        <f>SUM(Suorakaidekanavat!S19)</f>
        <v>0</v>
      </c>
      <c r="F160" s="97">
        <f>SUM(E160*2.25)</f>
        <v>0</v>
      </c>
      <c r="G160" s="22">
        <v>5.5</v>
      </c>
      <c r="H160" s="303">
        <f>SUM(Suorakaidekanavat!S47)</f>
        <v>0</v>
      </c>
      <c r="I160" s="97">
        <f>SUM(H160*5.5)</f>
        <v>0</v>
      </c>
      <c r="J160" s="39">
        <v>1</v>
      </c>
      <c r="K160" s="178">
        <f>SUM(Suorakaidekanavat!S75)</f>
        <v>0</v>
      </c>
      <c r="L160" s="97">
        <f t="shared" si="6"/>
        <v>0</v>
      </c>
      <c r="M160" s="175">
        <v>2</v>
      </c>
      <c r="N160" s="178">
        <f>SUM(Suorakaidekanavat!S103)</f>
        <v>0</v>
      </c>
      <c r="O160" s="97">
        <f t="shared" si="7"/>
        <v>0</v>
      </c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</row>
    <row r="161" spans="1:52" ht="15.75" customHeight="1" x14ac:dyDescent="0.2">
      <c r="A161" s="41"/>
      <c r="C161" s="15" t="s">
        <v>169</v>
      </c>
      <c r="D161" s="39">
        <v>2.4300000000000002</v>
      </c>
      <c r="E161" s="303">
        <f>SUM(Suorakaidekanavat!S20)</f>
        <v>0</v>
      </c>
      <c r="F161" s="97">
        <f>SUM(E161*2.43)</f>
        <v>0</v>
      </c>
      <c r="G161" s="13">
        <v>5.94</v>
      </c>
      <c r="H161" s="303">
        <f>SUM(Suorakaidekanavat!S48)</f>
        <v>0</v>
      </c>
      <c r="I161" s="97">
        <f>SUM(H161*5.94)</f>
        <v>0</v>
      </c>
      <c r="J161" s="39">
        <v>1</v>
      </c>
      <c r="K161" s="178">
        <f>SUM(Suorakaidekanavat!S76)</f>
        <v>0</v>
      </c>
      <c r="L161" s="97">
        <f t="shared" si="6"/>
        <v>0</v>
      </c>
      <c r="M161" s="175">
        <v>2</v>
      </c>
      <c r="N161" s="178">
        <f>SUM(Suorakaidekanavat!S104)</f>
        <v>0</v>
      </c>
      <c r="O161" s="97">
        <f t="shared" si="7"/>
        <v>0</v>
      </c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</row>
    <row r="162" spans="1:52" ht="15.75" customHeight="1" x14ac:dyDescent="0.2">
      <c r="A162" s="41"/>
      <c r="B162" s="16"/>
      <c r="C162" s="16" t="s">
        <v>170</v>
      </c>
      <c r="D162" s="39">
        <v>2.61</v>
      </c>
      <c r="E162" s="303">
        <f>SUM(Suorakaidekanavat!S21)</f>
        <v>0</v>
      </c>
      <c r="F162" s="97">
        <f>SUM(E162*2.61)</f>
        <v>0</v>
      </c>
      <c r="G162" s="13">
        <v>6.38</v>
      </c>
      <c r="H162" s="303">
        <f>SUM(Suorakaidekanavat!S49)</f>
        <v>0</v>
      </c>
      <c r="I162" s="97">
        <f>SUM(H162*6.38)</f>
        <v>0</v>
      </c>
      <c r="J162" s="39">
        <v>1</v>
      </c>
      <c r="K162" s="178">
        <f>SUM(Suorakaidekanavat!S77)</f>
        <v>0</v>
      </c>
      <c r="L162" s="97">
        <f t="shared" si="6"/>
        <v>0</v>
      </c>
      <c r="M162" s="175">
        <v>2</v>
      </c>
      <c r="N162" s="178">
        <f>SUM(Suorakaidekanavat!S105)</f>
        <v>0</v>
      </c>
      <c r="O162" s="97">
        <f t="shared" si="7"/>
        <v>0</v>
      </c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</row>
    <row r="163" spans="1:52" ht="15.75" customHeight="1" x14ac:dyDescent="0.2">
      <c r="A163" s="41"/>
      <c r="B163" s="24" t="s">
        <v>171</v>
      </c>
      <c r="C163" s="24" t="s">
        <v>172</v>
      </c>
      <c r="D163" s="39">
        <v>2.7</v>
      </c>
      <c r="E163" s="303">
        <f>SUM(Suorakaidekanavat!S22)</f>
        <v>0</v>
      </c>
      <c r="F163" s="97">
        <f>SUM(E163*2.7)</f>
        <v>0</v>
      </c>
      <c r="G163" s="22">
        <v>6.6</v>
      </c>
      <c r="H163" s="303">
        <f>SUM(Suorakaidekanavat!S50)</f>
        <v>0</v>
      </c>
      <c r="I163" s="97">
        <f>SUM(H163*6.6)</f>
        <v>0</v>
      </c>
      <c r="J163" s="39">
        <v>1</v>
      </c>
      <c r="K163" s="178">
        <f>SUM(Suorakaidekanavat!S78)</f>
        <v>0</v>
      </c>
      <c r="L163" s="97">
        <f t="shared" si="6"/>
        <v>0</v>
      </c>
      <c r="M163" s="175">
        <v>2</v>
      </c>
      <c r="N163" s="178">
        <f>SUM(Suorakaidekanavat!S106)</f>
        <v>0</v>
      </c>
      <c r="O163" s="97">
        <f t="shared" si="7"/>
        <v>0</v>
      </c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</row>
    <row r="164" spans="1:52" ht="15.75" customHeight="1" x14ac:dyDescent="0.2">
      <c r="A164" s="41"/>
      <c r="C164" s="15" t="s">
        <v>173</v>
      </c>
      <c r="D164" s="39">
        <v>2.88</v>
      </c>
      <c r="E164" s="303">
        <f>SUM(Suorakaidekanavat!S23)</f>
        <v>0</v>
      </c>
      <c r="F164" s="97">
        <f>SUM(E164*2.88)</f>
        <v>0</v>
      </c>
      <c r="G164" s="13">
        <v>7.04</v>
      </c>
      <c r="H164" s="303">
        <f>SUM(Suorakaidekanavat!S51)</f>
        <v>0</v>
      </c>
      <c r="I164" s="97">
        <f>SUM(H164*7.04)</f>
        <v>0</v>
      </c>
      <c r="J164" s="39">
        <v>1.25</v>
      </c>
      <c r="K164" s="178">
        <f>SUM(Suorakaidekanavat!S79)</f>
        <v>0</v>
      </c>
      <c r="L164" s="97">
        <f>SUM(K164*1.25)</f>
        <v>0</v>
      </c>
      <c r="M164" s="13">
        <v>2.5</v>
      </c>
      <c r="N164" s="178">
        <f>SUM(Suorakaidekanavat!S107)</f>
        <v>0</v>
      </c>
      <c r="O164" s="97">
        <f>SUM(N164*2.5)</f>
        <v>0</v>
      </c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</row>
    <row r="165" spans="1:52" ht="15" customHeight="1" x14ac:dyDescent="0.2">
      <c r="A165" s="41"/>
      <c r="C165" s="15" t="s">
        <v>174</v>
      </c>
      <c r="D165" s="39">
        <v>3.06</v>
      </c>
      <c r="E165" s="303">
        <f>SUM(Suorakaidekanavat!S24)</f>
        <v>0</v>
      </c>
      <c r="F165" s="97">
        <f>SUM(E165*3.06)</f>
        <v>0</v>
      </c>
      <c r="G165" s="13">
        <v>7.48</v>
      </c>
      <c r="H165" s="303">
        <f>SUM(Suorakaidekanavat!S52)</f>
        <v>0</v>
      </c>
      <c r="I165" s="97">
        <f>SUM(H165*7.48)</f>
        <v>0</v>
      </c>
      <c r="J165" s="39">
        <v>1.25</v>
      </c>
      <c r="K165" s="178">
        <f>SUM(Suorakaidekanavat!S80)</f>
        <v>0</v>
      </c>
      <c r="L165" s="97">
        <f>SUM(K165*1.25)</f>
        <v>0</v>
      </c>
      <c r="M165" s="13">
        <v>2.5</v>
      </c>
      <c r="N165" s="178">
        <f>SUM(Suorakaidekanavat!S108)</f>
        <v>0</v>
      </c>
      <c r="O165" s="97">
        <f>SUM(N165*2.5)</f>
        <v>0</v>
      </c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</row>
    <row r="166" spans="1:52" ht="15.75" customHeight="1" x14ac:dyDescent="0.2">
      <c r="A166" s="41"/>
      <c r="C166" s="15" t="s">
        <v>175</v>
      </c>
      <c r="D166" s="39">
        <v>3.24</v>
      </c>
      <c r="E166" s="303">
        <f>SUM(Suorakaidekanavat!S25)</f>
        <v>0</v>
      </c>
      <c r="F166" s="97">
        <f>SUM(E166*3.24)</f>
        <v>0</v>
      </c>
      <c r="G166" s="13">
        <v>7.92</v>
      </c>
      <c r="H166" s="303">
        <f>SUM(Suorakaidekanavat!S53)</f>
        <v>0</v>
      </c>
      <c r="I166" s="97">
        <f>SUM(H166*7.92)</f>
        <v>0</v>
      </c>
      <c r="J166" s="39">
        <v>1.25</v>
      </c>
      <c r="K166" s="178">
        <f>SUM(Suorakaidekanavat!S81)</f>
        <v>0</v>
      </c>
      <c r="L166" s="97">
        <f>SUM(K166*1.25)</f>
        <v>0</v>
      </c>
      <c r="M166" s="13">
        <v>2.5</v>
      </c>
      <c r="N166" s="178">
        <f>SUM(Suorakaidekanavat!S109)</f>
        <v>0</v>
      </c>
      <c r="O166" s="97">
        <f>SUM(N166*2.5)</f>
        <v>0</v>
      </c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</row>
    <row r="167" spans="1:52" ht="15.75" customHeight="1" x14ac:dyDescent="0.2">
      <c r="A167" s="41"/>
      <c r="B167" s="16"/>
      <c r="C167" s="16" t="s">
        <v>176</v>
      </c>
      <c r="D167" s="39">
        <v>3.42</v>
      </c>
      <c r="E167" s="303">
        <f>SUM(Suorakaidekanavat!S26)</f>
        <v>0</v>
      </c>
      <c r="F167" s="97">
        <f>SUM(E167*3.42)</f>
        <v>0</v>
      </c>
      <c r="G167" s="13">
        <v>8.36</v>
      </c>
      <c r="H167" s="303">
        <f>SUM(Suorakaidekanavat!S54)</f>
        <v>0</v>
      </c>
      <c r="I167" s="97">
        <f>SUM(H167*8.36)</f>
        <v>0</v>
      </c>
      <c r="J167" s="39">
        <v>1.25</v>
      </c>
      <c r="K167" s="178">
        <f>SUM(Suorakaidekanavat!S82)</f>
        <v>0</v>
      </c>
      <c r="L167" s="97">
        <f>SUM(K167*1.25)</f>
        <v>0</v>
      </c>
      <c r="M167" s="13">
        <v>2.5</v>
      </c>
      <c r="N167" s="178">
        <f>SUM(Suorakaidekanavat!S110)</f>
        <v>0</v>
      </c>
      <c r="O167" s="97">
        <f>SUM(N167*2.5)</f>
        <v>0</v>
      </c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</row>
    <row r="168" spans="1:52" ht="15.75" customHeight="1" x14ac:dyDescent="0.2">
      <c r="A168" s="41"/>
      <c r="B168" s="52" t="s">
        <v>177</v>
      </c>
      <c r="C168" s="52" t="s">
        <v>178</v>
      </c>
      <c r="D168" s="39">
        <v>3.6</v>
      </c>
      <c r="E168" s="303">
        <f>SUM(Suorakaidekanavat!S27)</f>
        <v>0</v>
      </c>
      <c r="F168" s="97">
        <f>SUM(E168*3.6)</f>
        <v>0</v>
      </c>
      <c r="G168" s="22">
        <v>8.8000000000000007</v>
      </c>
      <c r="H168" s="303">
        <f>SUM(Suorakaidekanavat!S55)</f>
        <v>0</v>
      </c>
      <c r="I168" s="97">
        <f>SUM(H168*8.8)</f>
        <v>0</v>
      </c>
      <c r="J168" s="39">
        <v>1.25</v>
      </c>
      <c r="K168" s="178">
        <f>SUM(Suorakaidekanavat!S83)</f>
        <v>0</v>
      </c>
      <c r="L168" s="97">
        <f>SUM(K168*1.25)</f>
        <v>0</v>
      </c>
      <c r="M168" s="13">
        <v>2.5</v>
      </c>
      <c r="N168" s="178">
        <f>SUM(Suorakaidekanavat!S111)</f>
        <v>0</v>
      </c>
      <c r="O168" s="97">
        <f>SUM(N168*2.5)</f>
        <v>0</v>
      </c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</row>
    <row r="169" spans="1:52" ht="15.75" customHeight="1" thickBot="1" x14ac:dyDescent="0.25">
      <c r="B169" s="5"/>
      <c r="C169" s="5"/>
      <c r="D169" s="46"/>
      <c r="E169" s="170" t="s">
        <v>0</v>
      </c>
      <c r="F169" s="676">
        <f>SUM(F146:F168)</f>
        <v>0</v>
      </c>
      <c r="G169" s="89"/>
      <c r="H169" s="170" t="s">
        <v>0</v>
      </c>
      <c r="I169" s="676">
        <f>SUM(I146:I168)</f>
        <v>0</v>
      </c>
      <c r="J169" s="89"/>
      <c r="K169" s="170" t="s">
        <v>0</v>
      </c>
      <c r="L169" s="676">
        <f>SUM(L146:L168)</f>
        <v>0</v>
      </c>
      <c r="M169" s="89"/>
      <c r="N169" s="170" t="s">
        <v>0</v>
      </c>
      <c r="O169" s="676">
        <f>SUM(O146:O168)</f>
        <v>0</v>
      </c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</row>
    <row r="170" spans="1:52" ht="15.75" customHeight="1" x14ac:dyDescent="0.2">
      <c r="B170" s="80" t="s">
        <v>232</v>
      </c>
      <c r="C170" s="5"/>
      <c r="D170" s="46"/>
      <c r="E170" s="5"/>
      <c r="F170" s="46"/>
      <c r="G170" s="5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</row>
    <row r="171" spans="1:52" ht="15.75" customHeight="1" x14ac:dyDescent="0.2">
      <c r="B171" s="80" t="s">
        <v>233</v>
      </c>
      <c r="C171" s="5"/>
      <c r="D171" s="46"/>
      <c r="E171" s="5"/>
      <c r="F171" s="46"/>
      <c r="G171" s="5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</row>
    <row r="172" spans="1:52" ht="15.75" customHeight="1" x14ac:dyDescent="0.2">
      <c r="B172" s="80" t="s">
        <v>234</v>
      </c>
      <c r="C172" s="5"/>
      <c r="D172" s="46"/>
      <c r="E172" s="5"/>
      <c r="F172" s="46"/>
      <c r="G172" s="5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</row>
    <row r="173" spans="1:52" ht="15" customHeight="1" thickBot="1" x14ac:dyDescent="0.25">
      <c r="B173" s="5" t="s">
        <v>228</v>
      </c>
      <c r="C173" s="5"/>
      <c r="D173" s="46"/>
      <c r="E173" s="5"/>
      <c r="F173" s="46"/>
      <c r="G173" s="5"/>
      <c r="O173" s="59"/>
      <c r="P173" s="89" t="s">
        <v>207</v>
      </c>
      <c r="Q173" s="89" t="s">
        <v>0</v>
      </c>
      <c r="R173" s="661">
        <f>SUM(F169+I169+L169+O169+R147)</f>
        <v>0</v>
      </c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</row>
    <row r="174" spans="1:52" ht="12.75" x14ac:dyDescent="0.2">
      <c r="B174" s="80" t="s">
        <v>235</v>
      </c>
      <c r="C174" s="5"/>
      <c r="D174" s="46"/>
      <c r="E174" s="5"/>
      <c r="F174" s="46"/>
      <c r="G174" s="5"/>
      <c r="S174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</row>
    <row r="175" spans="1:52" x14ac:dyDescent="0.45"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</row>
    <row r="176" spans="1:52" ht="18" x14ac:dyDescent="0.25">
      <c r="A176" s="396" t="s">
        <v>507</v>
      </c>
      <c r="C176" s="46"/>
      <c r="D176" s="5"/>
      <c r="E176" s="46"/>
      <c r="F176" s="5"/>
      <c r="G176" s="5"/>
      <c r="J176" s="325" t="s">
        <v>221</v>
      </c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</row>
    <row r="177" spans="1:52" ht="15.75" x14ac:dyDescent="0.25">
      <c r="A177" s="424" t="s">
        <v>383</v>
      </c>
      <c r="C177" s="46"/>
      <c r="D177" s="5"/>
      <c r="E177" s="46"/>
      <c r="F177" s="5"/>
      <c r="G177" s="5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</row>
    <row r="178" spans="1:52" ht="15.75" x14ac:dyDescent="0.25">
      <c r="B178" s="35"/>
      <c r="C178" s="46"/>
      <c r="D178" s="5"/>
      <c r="E178" s="46"/>
      <c r="F178" s="5"/>
      <c r="G178" s="5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</row>
    <row r="179" spans="1:52" ht="12.75" x14ac:dyDescent="0.2">
      <c r="B179" s="5"/>
      <c r="C179" s="46"/>
      <c r="D179" s="5"/>
      <c r="E179" s="46"/>
      <c r="F179" s="5"/>
      <c r="G179" s="5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</row>
    <row r="180" spans="1:52" ht="12.75" x14ac:dyDescent="0.2">
      <c r="B180" s="5"/>
      <c r="C180" s="46"/>
      <c r="D180" s="5"/>
      <c r="E180" s="46"/>
      <c r="F180" s="5"/>
      <c r="G180" s="5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</row>
    <row r="181" spans="1:52" ht="12.75" x14ac:dyDescent="0.2">
      <c r="B181" s="5"/>
      <c r="C181" s="46"/>
      <c r="D181" s="5"/>
      <c r="E181" s="46"/>
      <c r="F181" s="5"/>
      <c r="G181" s="5"/>
      <c r="T181" s="109"/>
      <c r="U181" s="109"/>
      <c r="V181" s="214"/>
      <c r="W181" s="109"/>
      <c r="X181" s="214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</row>
    <row r="182" spans="1:52" ht="12.75" x14ac:dyDescent="0.2">
      <c r="A182" s="61" t="s">
        <v>179</v>
      </c>
      <c r="B182" s="394"/>
      <c r="C182" s="2"/>
      <c r="D182" s="42"/>
      <c r="E182" s="2"/>
      <c r="F182" s="42"/>
      <c r="G182" s="2" t="s">
        <v>180</v>
      </c>
      <c r="H182" s="2"/>
      <c r="I182" s="2"/>
      <c r="J182" s="2"/>
      <c r="K182" s="2"/>
      <c r="L182" s="2"/>
      <c r="M182" s="11"/>
      <c r="T182" s="109"/>
      <c r="U182" s="109"/>
      <c r="V182" s="214"/>
      <c r="W182" s="109"/>
      <c r="X182" s="214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</row>
    <row r="183" spans="1:52" ht="12.75" x14ac:dyDescent="0.2">
      <c r="A183" s="20" t="s">
        <v>1</v>
      </c>
      <c r="B183" s="16">
        <v>100</v>
      </c>
      <c r="C183" s="16">
        <v>150</v>
      </c>
      <c r="D183" s="68">
        <v>200</v>
      </c>
      <c r="E183" s="16">
        <v>250</v>
      </c>
      <c r="F183" s="68">
        <v>300</v>
      </c>
      <c r="G183" s="16">
        <v>400</v>
      </c>
      <c r="H183" s="16">
        <v>500</v>
      </c>
      <c r="I183" s="16">
        <v>600</v>
      </c>
      <c r="J183" s="16">
        <v>800</v>
      </c>
      <c r="K183" s="16">
        <v>1000</v>
      </c>
      <c r="L183" s="16">
        <v>1200</v>
      </c>
      <c r="M183" s="58">
        <v>1500</v>
      </c>
      <c r="T183" s="109"/>
      <c r="U183" s="109"/>
      <c r="V183" s="214"/>
      <c r="W183" s="109"/>
      <c r="X183" s="214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</row>
    <row r="184" spans="1:52" ht="12.75" x14ac:dyDescent="0.2">
      <c r="A184" s="20">
        <v>200</v>
      </c>
      <c r="B184" s="70"/>
      <c r="C184" s="70"/>
      <c r="D184" s="71"/>
      <c r="E184" s="70"/>
      <c r="F184" s="71" t="s">
        <v>181</v>
      </c>
      <c r="G184" s="2"/>
      <c r="H184" s="2"/>
      <c r="I184" s="2"/>
      <c r="J184" s="2"/>
      <c r="K184" s="2"/>
      <c r="L184" s="2"/>
      <c r="M184" s="11"/>
      <c r="T184" s="109"/>
      <c r="U184" s="109"/>
      <c r="V184" s="214"/>
      <c r="W184" s="109"/>
      <c r="X184" s="214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</row>
    <row r="185" spans="1:52" ht="12.75" x14ac:dyDescent="0.2">
      <c r="A185" s="20">
        <v>250</v>
      </c>
      <c r="B185" s="49"/>
      <c r="C185" s="49"/>
      <c r="D185" s="50"/>
      <c r="E185" s="49"/>
      <c r="F185" s="46"/>
      <c r="G185" s="5"/>
      <c r="M185" s="41"/>
      <c r="T185" s="109"/>
      <c r="U185" s="109"/>
      <c r="V185" s="214"/>
      <c r="W185" s="109"/>
      <c r="X185" s="214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</row>
    <row r="186" spans="1:52" ht="12.75" x14ac:dyDescent="0.2">
      <c r="A186" s="20">
        <v>300</v>
      </c>
      <c r="B186" s="72"/>
      <c r="C186" s="72"/>
      <c r="D186" s="51" t="s">
        <v>181</v>
      </c>
      <c r="E186" s="16" t="s">
        <v>182</v>
      </c>
      <c r="F186" s="45" t="s">
        <v>158</v>
      </c>
      <c r="G186" s="5"/>
      <c r="M186" s="41"/>
      <c r="T186" s="109"/>
      <c r="U186" s="109"/>
      <c r="V186" s="214"/>
      <c r="W186" s="109"/>
      <c r="X186" s="214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</row>
    <row r="187" spans="1:52" ht="12.75" x14ac:dyDescent="0.2">
      <c r="A187" s="20">
        <v>400</v>
      </c>
      <c r="B187" s="395" t="s">
        <v>181</v>
      </c>
      <c r="C187" s="15" t="s">
        <v>182</v>
      </c>
      <c r="D187" s="46" t="s">
        <v>155</v>
      </c>
      <c r="E187" s="15" t="s">
        <v>183</v>
      </c>
      <c r="F187" s="46" t="s">
        <v>156</v>
      </c>
      <c r="G187" s="15" t="s">
        <v>157</v>
      </c>
      <c r="H187" s="15"/>
      <c r="I187" s="15"/>
      <c r="J187" s="15"/>
      <c r="K187" s="15"/>
      <c r="L187" s="15"/>
      <c r="M187" s="65"/>
      <c r="T187" s="109"/>
      <c r="U187" s="109"/>
      <c r="V187" s="214"/>
      <c r="W187" s="109"/>
      <c r="X187" s="214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</row>
    <row r="188" spans="1:52" ht="12.75" x14ac:dyDescent="0.2">
      <c r="A188" s="20">
        <v>500</v>
      </c>
      <c r="B188" s="16" t="s">
        <v>155</v>
      </c>
      <c r="C188" s="16" t="s">
        <v>183</v>
      </c>
      <c r="D188" s="45" t="s">
        <v>156</v>
      </c>
      <c r="E188" s="16" t="s">
        <v>184</v>
      </c>
      <c r="F188" s="45" t="s">
        <v>157</v>
      </c>
      <c r="G188" s="16" t="s">
        <v>158</v>
      </c>
      <c r="H188" s="16" t="s">
        <v>159</v>
      </c>
      <c r="I188" s="67"/>
      <c r="J188" s="67"/>
      <c r="K188" s="67"/>
      <c r="L188" s="67"/>
      <c r="M188" s="58" t="s">
        <v>165</v>
      </c>
      <c r="T188" s="109"/>
      <c r="U188" s="109"/>
      <c r="V188" s="214"/>
      <c r="W188" s="109"/>
      <c r="X188" s="214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</row>
    <row r="189" spans="1:52" ht="12.75" x14ac:dyDescent="0.2">
      <c r="A189" s="20">
        <v>600</v>
      </c>
      <c r="B189" s="15" t="s">
        <v>156</v>
      </c>
      <c r="C189" s="15" t="s">
        <v>184</v>
      </c>
      <c r="D189" s="46" t="s">
        <v>157</v>
      </c>
      <c r="E189" s="15" t="s">
        <v>185</v>
      </c>
      <c r="F189" s="46" t="s">
        <v>158</v>
      </c>
      <c r="G189" s="15" t="s">
        <v>159</v>
      </c>
      <c r="H189" s="15" t="s">
        <v>186</v>
      </c>
      <c r="I189" s="15" t="s">
        <v>160</v>
      </c>
      <c r="J189" s="15"/>
      <c r="K189" s="15"/>
      <c r="L189" s="15"/>
      <c r="M189" s="65"/>
      <c r="T189" s="109"/>
      <c r="U189" s="109"/>
      <c r="V189" s="214"/>
      <c r="W189" s="109"/>
      <c r="X189" s="214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</row>
    <row r="190" spans="1:52" ht="12.75" x14ac:dyDescent="0.2">
      <c r="A190" s="20">
        <v>800</v>
      </c>
      <c r="B190" s="16" t="s">
        <v>158</v>
      </c>
      <c r="C190" s="16" t="s">
        <v>187</v>
      </c>
      <c r="D190" s="45" t="s">
        <v>159</v>
      </c>
      <c r="E190" s="16" t="s">
        <v>188</v>
      </c>
      <c r="F190" s="45" t="s">
        <v>186</v>
      </c>
      <c r="G190" s="16" t="s">
        <v>160</v>
      </c>
      <c r="H190" s="16" t="s">
        <v>189</v>
      </c>
      <c r="I190" s="16" t="s">
        <v>161</v>
      </c>
      <c r="J190" s="16" t="s">
        <v>162</v>
      </c>
      <c r="K190" s="15"/>
      <c r="L190" s="16"/>
      <c r="M190" s="65"/>
      <c r="T190" s="109"/>
      <c r="U190" s="109"/>
      <c r="V190" s="214"/>
      <c r="W190" s="109"/>
      <c r="X190" s="214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</row>
    <row r="191" spans="1:52" ht="12.75" x14ac:dyDescent="0.2">
      <c r="A191" s="20">
        <v>1000</v>
      </c>
      <c r="B191" s="5"/>
      <c r="C191" s="5"/>
      <c r="D191" s="46" t="s">
        <v>160</v>
      </c>
      <c r="E191" s="15" t="s">
        <v>190</v>
      </c>
      <c r="F191" s="46" t="s">
        <v>189</v>
      </c>
      <c r="G191" s="15" t="s">
        <v>161</v>
      </c>
      <c r="H191" s="15" t="s">
        <v>191</v>
      </c>
      <c r="I191" s="15" t="s">
        <v>162</v>
      </c>
      <c r="J191" s="15" t="s">
        <v>163</v>
      </c>
      <c r="K191" s="16" t="s">
        <v>165</v>
      </c>
      <c r="L191" s="15"/>
      <c r="M191" s="65" t="s">
        <v>168</v>
      </c>
      <c r="T191" s="109"/>
      <c r="U191" s="109"/>
      <c r="V191" s="214"/>
      <c r="W191" s="109"/>
      <c r="X191" s="214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</row>
    <row r="192" spans="1:52" ht="12.75" x14ac:dyDescent="0.2">
      <c r="A192" s="20">
        <v>1200</v>
      </c>
      <c r="B192" s="5"/>
      <c r="C192" s="5"/>
      <c r="D192" s="46"/>
      <c r="E192" s="5"/>
      <c r="F192" s="46" t="s">
        <v>191</v>
      </c>
      <c r="G192" s="15" t="s">
        <v>162</v>
      </c>
      <c r="H192" s="15" t="s">
        <v>192</v>
      </c>
      <c r="I192" s="15" t="s">
        <v>163</v>
      </c>
      <c r="J192" s="16" t="s">
        <v>165</v>
      </c>
      <c r="K192" s="15" t="s">
        <v>166</v>
      </c>
      <c r="L192" s="15" t="s">
        <v>167</v>
      </c>
      <c r="M192" s="65" t="s">
        <v>169</v>
      </c>
      <c r="T192" s="109"/>
      <c r="U192" s="109"/>
      <c r="V192" s="214"/>
      <c r="W192" s="109"/>
      <c r="X192" s="214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</row>
    <row r="193" spans="1:52" ht="12.75" x14ac:dyDescent="0.2">
      <c r="A193" s="20">
        <v>1400</v>
      </c>
      <c r="B193" s="66"/>
      <c r="C193" s="66"/>
      <c r="D193" s="69"/>
      <c r="E193" s="66"/>
      <c r="F193" s="69"/>
      <c r="G193" s="67"/>
      <c r="H193" s="16" t="s">
        <v>164</v>
      </c>
      <c r="I193" s="16" t="s">
        <v>165</v>
      </c>
      <c r="J193" s="15" t="s">
        <v>166</v>
      </c>
      <c r="K193" s="15" t="s">
        <v>167</v>
      </c>
      <c r="L193" s="15" t="s">
        <v>193</v>
      </c>
      <c r="M193" s="65" t="s">
        <v>170</v>
      </c>
      <c r="T193" s="109"/>
      <c r="U193" s="109"/>
      <c r="V193" s="214"/>
      <c r="W193" s="109"/>
      <c r="X193" s="214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</row>
    <row r="194" spans="1:52" ht="12.75" x14ac:dyDescent="0.2">
      <c r="A194" s="20">
        <v>1600</v>
      </c>
      <c r="B194" s="5"/>
      <c r="C194" s="5"/>
      <c r="D194" s="46"/>
      <c r="E194" s="5"/>
      <c r="F194" s="46"/>
      <c r="G194" s="15"/>
      <c r="H194" s="15"/>
      <c r="I194" s="15"/>
      <c r="J194" s="24" t="s">
        <v>167</v>
      </c>
      <c r="K194" s="24" t="s">
        <v>193</v>
      </c>
      <c r="L194" s="24" t="s">
        <v>194</v>
      </c>
      <c r="M194" s="10" t="s">
        <v>195</v>
      </c>
      <c r="T194" s="109"/>
      <c r="U194" s="109"/>
      <c r="V194" s="214"/>
      <c r="W194" s="109"/>
      <c r="X194" s="214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</row>
    <row r="195" spans="1:52" ht="12.75" x14ac:dyDescent="0.2">
      <c r="A195" s="20">
        <v>1800</v>
      </c>
      <c r="B195" s="5"/>
      <c r="C195" s="5"/>
      <c r="D195" s="46"/>
      <c r="E195" s="5"/>
      <c r="F195" s="46"/>
      <c r="G195" s="15"/>
      <c r="H195" s="15"/>
      <c r="I195" s="15"/>
      <c r="J195" s="15" t="s">
        <v>193</v>
      </c>
      <c r="K195" s="15" t="s">
        <v>194</v>
      </c>
      <c r="L195" s="15" t="s">
        <v>172</v>
      </c>
      <c r="M195" s="65" t="s">
        <v>196</v>
      </c>
      <c r="T195" s="109"/>
      <c r="U195" s="109"/>
      <c r="V195" s="214"/>
      <c r="W195" s="109"/>
      <c r="X195" s="214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</row>
    <row r="196" spans="1:52" ht="12.75" x14ac:dyDescent="0.2">
      <c r="A196" s="20">
        <v>2000</v>
      </c>
      <c r="B196" s="66"/>
      <c r="C196" s="66"/>
      <c r="D196" s="69"/>
      <c r="E196" s="66"/>
      <c r="F196" s="69"/>
      <c r="G196" s="67"/>
      <c r="H196" s="16" t="s">
        <v>168</v>
      </c>
      <c r="I196" s="67"/>
      <c r="J196" s="16" t="s">
        <v>194</v>
      </c>
      <c r="K196" s="16" t="s">
        <v>172</v>
      </c>
      <c r="L196" s="16" t="s">
        <v>173</v>
      </c>
      <c r="M196" s="58" t="s">
        <v>197</v>
      </c>
      <c r="T196" s="109"/>
      <c r="U196" s="109"/>
      <c r="V196" s="214"/>
      <c r="W196" s="109"/>
      <c r="X196" s="214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</row>
    <row r="197" spans="1:52" ht="12.75" x14ac:dyDescent="0.2">
      <c r="A197" s="20">
        <v>2400</v>
      </c>
      <c r="B197" s="5"/>
      <c r="C197" s="5"/>
      <c r="D197" s="46"/>
      <c r="E197" s="5"/>
      <c r="F197" s="46"/>
      <c r="G197" s="15"/>
      <c r="H197" s="15"/>
      <c r="I197" s="15"/>
      <c r="J197" s="15"/>
      <c r="K197" s="24" t="s">
        <v>174</v>
      </c>
      <c r="L197" s="24" t="s">
        <v>175</v>
      </c>
      <c r="M197" s="10" t="s">
        <v>198</v>
      </c>
      <c r="T197" s="109"/>
      <c r="U197" s="109"/>
      <c r="V197" s="214"/>
      <c r="W197" s="109"/>
      <c r="X197" s="214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</row>
    <row r="198" spans="1:52" ht="12.75" x14ac:dyDescent="0.2">
      <c r="A198" s="20">
        <v>2800</v>
      </c>
      <c r="B198" s="5"/>
      <c r="C198" s="5"/>
      <c r="D198" s="46"/>
      <c r="E198" s="5"/>
      <c r="F198" s="46"/>
      <c r="G198" s="15"/>
      <c r="H198" s="15"/>
      <c r="I198" s="15"/>
      <c r="J198" s="15"/>
      <c r="K198" s="15" t="s">
        <v>176</v>
      </c>
      <c r="L198" s="15" t="s">
        <v>178</v>
      </c>
      <c r="M198" s="65" t="s">
        <v>199</v>
      </c>
      <c r="T198" s="109"/>
      <c r="U198" s="109"/>
      <c r="V198" s="214"/>
      <c r="W198" s="109"/>
      <c r="X198" s="214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</row>
    <row r="199" spans="1:52" ht="12.75" x14ac:dyDescent="0.2">
      <c r="A199" s="20">
        <v>3000</v>
      </c>
      <c r="B199" s="66"/>
      <c r="C199" s="66"/>
      <c r="D199" s="69"/>
      <c r="E199" s="66"/>
      <c r="F199" s="69"/>
      <c r="G199" s="67"/>
      <c r="H199" s="16" t="s">
        <v>197</v>
      </c>
      <c r="I199" s="67"/>
      <c r="J199" s="67"/>
      <c r="K199" s="16" t="s">
        <v>178</v>
      </c>
      <c r="L199" s="16" t="s">
        <v>200</v>
      </c>
      <c r="M199" s="58" t="s">
        <v>201</v>
      </c>
      <c r="T199" s="109"/>
      <c r="U199" s="109"/>
      <c r="V199" s="214"/>
      <c r="W199" s="109"/>
      <c r="X199" s="214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</row>
    <row r="200" spans="1:52" ht="12.75" x14ac:dyDescent="0.2">
      <c r="A200" s="23">
        <v>3200</v>
      </c>
      <c r="B200" s="17"/>
      <c r="C200" s="17"/>
      <c r="D200" s="45"/>
      <c r="E200" s="17"/>
      <c r="F200" s="45"/>
      <c r="G200" s="16"/>
      <c r="H200" s="16"/>
      <c r="I200" s="16"/>
      <c r="J200" s="16"/>
      <c r="K200" s="16" t="s">
        <v>200</v>
      </c>
      <c r="L200" s="16" t="s">
        <v>202</v>
      </c>
      <c r="M200" s="58" t="s">
        <v>203</v>
      </c>
      <c r="T200" s="109"/>
      <c r="U200" s="109"/>
      <c r="V200" s="214"/>
      <c r="W200" s="109"/>
      <c r="X200" s="214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</row>
    <row r="201" spans="1:52" ht="12.75" x14ac:dyDescent="0.2">
      <c r="B201" s="5"/>
      <c r="C201" s="46"/>
      <c r="D201" s="5"/>
      <c r="E201" s="46"/>
      <c r="F201" s="5"/>
      <c r="G201" s="5"/>
      <c r="T201" s="109"/>
      <c r="U201" s="109"/>
      <c r="V201" s="214"/>
      <c r="W201" s="109"/>
      <c r="X201" s="214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</row>
    <row r="202" spans="1:52" ht="12.75" x14ac:dyDescent="0.2">
      <c r="B202" s="5"/>
      <c r="C202" s="46"/>
      <c r="D202" s="5"/>
      <c r="E202" s="46"/>
      <c r="F202" s="5"/>
      <c r="G202" s="5"/>
      <c r="T202" s="109"/>
      <c r="U202" s="109"/>
      <c r="V202" s="214"/>
      <c r="W202" s="109"/>
      <c r="X202" s="214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</row>
    <row r="203" spans="1:52" ht="12.75" x14ac:dyDescent="0.2">
      <c r="B203" s="5"/>
      <c r="C203" s="46"/>
      <c r="D203" s="5"/>
      <c r="E203" s="46"/>
      <c r="F203" s="5"/>
      <c r="G203" s="5"/>
      <c r="T203" s="109"/>
      <c r="U203" s="109"/>
      <c r="V203" s="214"/>
      <c r="W203" s="109"/>
      <c r="X203" s="214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</row>
    <row r="204" spans="1:52" ht="12.75" x14ac:dyDescent="0.2">
      <c r="B204" s="5"/>
      <c r="C204" s="46"/>
      <c r="D204" s="5"/>
      <c r="E204" s="46"/>
      <c r="F204" s="5"/>
      <c r="G204" s="5"/>
      <c r="T204" s="109"/>
      <c r="U204" s="109"/>
      <c r="V204" s="214"/>
      <c r="W204" s="109"/>
      <c r="X204" s="214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</row>
    <row r="205" spans="1:52" ht="12.75" x14ac:dyDescent="0.2">
      <c r="B205" s="5"/>
      <c r="C205" s="46"/>
      <c r="D205" s="5"/>
      <c r="E205" s="46"/>
      <c r="F205" s="5"/>
      <c r="G205" s="5"/>
      <c r="T205" s="109"/>
      <c r="U205" s="109"/>
      <c r="V205" s="214"/>
      <c r="W205" s="109"/>
      <c r="X205" s="214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</row>
    <row r="206" spans="1:52" ht="15.75" x14ac:dyDescent="0.25">
      <c r="B206" s="35"/>
      <c r="C206" s="46"/>
      <c r="D206" s="5"/>
      <c r="E206" s="46"/>
      <c r="F206" s="5"/>
      <c r="G206" s="5"/>
      <c r="T206" s="109"/>
      <c r="U206" s="109"/>
      <c r="V206" s="214"/>
      <c r="W206" s="109"/>
      <c r="X206" s="214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</row>
    <row r="207" spans="1:52" ht="15.75" x14ac:dyDescent="0.25">
      <c r="B207" s="35"/>
      <c r="C207" s="46"/>
      <c r="D207" s="5"/>
      <c r="E207" s="46"/>
      <c r="F207" s="5"/>
      <c r="G207" s="5"/>
      <c r="T207" s="109"/>
      <c r="U207" s="109"/>
      <c r="V207" s="214"/>
      <c r="W207" s="109"/>
      <c r="X207" s="214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</row>
    <row r="208" spans="1:52" ht="15.75" x14ac:dyDescent="0.25">
      <c r="A208" s="35"/>
      <c r="B208" s="5"/>
      <c r="C208" s="46"/>
      <c r="D208" s="5"/>
      <c r="E208" s="46"/>
      <c r="F208" s="5"/>
      <c r="G208" s="5"/>
      <c r="T208" s="109"/>
      <c r="U208" s="109"/>
      <c r="V208" s="214"/>
      <c r="W208" s="109"/>
      <c r="X208" s="214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</row>
    <row r="209" spans="1:52" ht="12.75" x14ac:dyDescent="0.2">
      <c r="B209" s="5"/>
      <c r="C209" s="46"/>
      <c r="D209" s="5"/>
      <c r="E209" s="46"/>
      <c r="F209" s="5"/>
      <c r="G209" s="5"/>
      <c r="T209" s="109"/>
      <c r="U209" s="109"/>
      <c r="V209" s="214"/>
      <c r="W209" s="109"/>
      <c r="X209" s="214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</row>
    <row r="210" spans="1:52" ht="12.75" x14ac:dyDescent="0.2">
      <c r="B210" s="5"/>
      <c r="C210" s="46"/>
      <c r="D210" s="5"/>
      <c r="E210" s="46"/>
      <c r="F210" s="5"/>
      <c r="G210" s="5"/>
      <c r="T210" s="109"/>
      <c r="U210" s="109"/>
      <c r="V210" s="214"/>
      <c r="W210" s="109"/>
      <c r="X210" s="214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</row>
    <row r="211" spans="1:52" ht="12.75" x14ac:dyDescent="0.2">
      <c r="B211" s="5"/>
      <c r="C211" s="46"/>
      <c r="D211" s="5"/>
      <c r="E211" s="46"/>
      <c r="F211" s="5"/>
      <c r="G211" s="5"/>
      <c r="T211" s="109"/>
      <c r="U211" s="109"/>
      <c r="V211" s="214"/>
      <c r="W211" s="109"/>
      <c r="X211" s="214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</row>
    <row r="212" spans="1:52" ht="12.75" x14ac:dyDescent="0.2">
      <c r="B212" s="5"/>
      <c r="C212" s="46"/>
      <c r="D212" s="5"/>
      <c r="E212" s="46"/>
      <c r="F212" s="5"/>
      <c r="G212" s="5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</row>
    <row r="213" spans="1:52" ht="8.25" customHeight="1" x14ac:dyDescent="0.2">
      <c r="B213" s="5"/>
      <c r="C213" s="46"/>
      <c r="D213" s="5"/>
      <c r="E213" s="46"/>
      <c r="F213" s="5"/>
      <c r="G213" s="5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</row>
    <row r="214" spans="1:52" ht="18" customHeight="1" x14ac:dyDescent="0.2">
      <c r="B214" s="5"/>
      <c r="C214" s="46"/>
      <c r="D214" s="5"/>
      <c r="E214" s="46"/>
      <c r="F214" s="5"/>
      <c r="G214" s="5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</row>
    <row r="215" spans="1:52" ht="12" customHeight="1" x14ac:dyDescent="0.2">
      <c r="B215" s="5"/>
      <c r="C215" s="46"/>
      <c r="D215" s="5"/>
      <c r="E215" s="46"/>
      <c r="F215" s="5"/>
      <c r="G215" s="5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</row>
    <row r="216" spans="1:52" ht="12.75" x14ac:dyDescent="0.2">
      <c r="B216" s="5"/>
      <c r="C216" s="46"/>
      <c r="D216" s="5"/>
      <c r="E216" s="46"/>
      <c r="F216" s="5"/>
      <c r="G216" s="5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</row>
    <row r="217" spans="1:52" ht="15.75" x14ac:dyDescent="0.25">
      <c r="A217"/>
      <c r="B217" s="35" t="s">
        <v>506</v>
      </c>
      <c r="C217" s="5"/>
      <c r="D217" s="5"/>
      <c r="E217" s="5"/>
      <c r="F217" s="5"/>
      <c r="G217" s="5"/>
      <c r="J217" s="327" t="s">
        <v>221</v>
      </c>
      <c r="P217" s="25"/>
      <c r="R217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</row>
    <row r="218" spans="1:52" ht="12.75" x14ac:dyDescent="0.2">
      <c r="B218" s="5"/>
      <c r="C218" s="5"/>
      <c r="D218" s="5"/>
      <c r="E218" s="5"/>
      <c r="F218" s="5"/>
      <c r="G218" s="5"/>
      <c r="O218" s="15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</row>
    <row r="219" spans="1:52" ht="12.75" x14ac:dyDescent="0.2">
      <c r="B219" s="5"/>
      <c r="C219" s="5"/>
      <c r="D219" s="5"/>
      <c r="E219" s="5"/>
      <c r="F219" s="5"/>
      <c r="G219" s="5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</row>
    <row r="220" spans="1:52" ht="12.75" x14ac:dyDescent="0.2">
      <c r="B220" s="54"/>
      <c r="C220" s="54"/>
      <c r="D220" s="5"/>
      <c r="E220" s="5"/>
      <c r="F220" s="5"/>
      <c r="G220" s="5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</row>
    <row r="221" spans="1:52" ht="12.75" x14ac:dyDescent="0.2">
      <c r="A221" s="41"/>
      <c r="B221" s="397" t="s">
        <v>14</v>
      </c>
      <c r="C221" s="37"/>
      <c r="D221" s="153">
        <v>1</v>
      </c>
      <c r="E221" s="153"/>
      <c r="F221" s="155"/>
      <c r="G221" s="153">
        <v>2</v>
      </c>
      <c r="H221" s="153"/>
      <c r="I221" s="155"/>
      <c r="J221" s="153">
        <v>3</v>
      </c>
      <c r="K221" s="153"/>
      <c r="L221" s="155"/>
      <c r="M221" s="153">
        <v>4</v>
      </c>
      <c r="N221" s="153"/>
      <c r="O221" s="155"/>
      <c r="P221" s="153">
        <v>5</v>
      </c>
      <c r="Q221" s="11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</row>
    <row r="222" spans="1:52" ht="12.75" x14ac:dyDescent="0.2">
      <c r="A222" s="41"/>
      <c r="B222" s="398" t="s">
        <v>1</v>
      </c>
      <c r="C222" s="48" t="s">
        <v>0</v>
      </c>
      <c r="D222" s="82" t="s">
        <v>145</v>
      </c>
      <c r="E222" s="16" t="s">
        <v>0</v>
      </c>
      <c r="F222" s="48" t="s">
        <v>0</v>
      </c>
      <c r="G222" s="82" t="s">
        <v>145</v>
      </c>
      <c r="H222" s="16" t="s">
        <v>0</v>
      </c>
      <c r="I222" s="48" t="s">
        <v>0</v>
      </c>
      <c r="J222" s="82" t="s">
        <v>145</v>
      </c>
      <c r="K222" s="16" t="s">
        <v>0</v>
      </c>
      <c r="L222" s="48" t="s">
        <v>0</v>
      </c>
      <c r="M222" s="82" t="s">
        <v>145</v>
      </c>
      <c r="N222" s="16" t="s">
        <v>0</v>
      </c>
      <c r="O222" s="48" t="s">
        <v>0</v>
      </c>
      <c r="P222" s="82" t="s">
        <v>145</v>
      </c>
      <c r="Q222" s="58" t="s">
        <v>0</v>
      </c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</row>
    <row r="223" spans="1:52" ht="12.75" x14ac:dyDescent="0.2">
      <c r="A223" s="41"/>
      <c r="B223" s="13">
        <v>100</v>
      </c>
      <c r="C223" s="22">
        <v>0.5</v>
      </c>
      <c r="D223" s="178">
        <f>SUM(Venttiilit!R6)</f>
        <v>0</v>
      </c>
      <c r="E223" s="97">
        <f>SUM(D223*0.5)</f>
        <v>0</v>
      </c>
      <c r="F223" s="22">
        <v>0.85</v>
      </c>
      <c r="G223" s="178">
        <f>SUM(Venttiilit!R29)</f>
        <v>0</v>
      </c>
      <c r="H223" s="97">
        <f>SUM(G223*0.85)</f>
        <v>0</v>
      </c>
      <c r="I223" s="22">
        <v>0.6</v>
      </c>
      <c r="J223" s="178">
        <f>SUM(Venttiilit!R48)</f>
        <v>0</v>
      </c>
      <c r="K223" s="371">
        <f>SUM(J223*0.6)</f>
        <v>0</v>
      </c>
      <c r="L223" s="22">
        <v>0.78</v>
      </c>
      <c r="M223" s="178">
        <f>SUM(Venttiilit!R71)</f>
        <v>0</v>
      </c>
      <c r="N223" s="371">
        <f>SUM(L223*M223)</f>
        <v>0</v>
      </c>
      <c r="O223" s="22">
        <v>0.3</v>
      </c>
      <c r="P223" s="180">
        <f>SUM(Venttiilit!R89)</f>
        <v>0</v>
      </c>
      <c r="Q223" s="371">
        <f>SUM(O223*P223)</f>
        <v>0</v>
      </c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</row>
    <row r="224" spans="1:52" ht="12.75" x14ac:dyDescent="0.2">
      <c r="A224" s="41"/>
      <c r="B224" s="13">
        <v>125</v>
      </c>
      <c r="C224" s="22">
        <v>0.5</v>
      </c>
      <c r="D224" s="178">
        <f>SUM(Venttiilit!R7)</f>
        <v>0</v>
      </c>
      <c r="E224" s="97">
        <f>SUM(D224*0.5)</f>
        <v>0</v>
      </c>
      <c r="F224" s="22">
        <v>0.91</v>
      </c>
      <c r="G224" s="178">
        <f>SUM(Venttiilit!R30)</f>
        <v>0</v>
      </c>
      <c r="H224" s="97">
        <f>SUM(G224*0.91)</f>
        <v>0</v>
      </c>
      <c r="I224" s="22">
        <v>0.6</v>
      </c>
      <c r="J224" s="178">
        <f>SUM(Venttiilit!R49)</f>
        <v>0</v>
      </c>
      <c r="K224" s="372">
        <f>SUM(J224*0.6)</f>
        <v>0</v>
      </c>
      <c r="L224" s="22">
        <v>0.78</v>
      </c>
      <c r="M224" s="178">
        <f>SUM(Venttiilit!P72)</f>
        <v>0</v>
      </c>
      <c r="N224" s="371">
        <f t="shared" ref="N224:N234" si="8">SUM(L224*M224)</f>
        <v>0</v>
      </c>
      <c r="O224" s="22">
        <v>0.3</v>
      </c>
      <c r="P224" s="178">
        <f>SUM(Venttiilit!R90)</f>
        <v>0</v>
      </c>
      <c r="Q224" s="371">
        <f t="shared" ref="Q224:Q229" si="9">SUM(O224*P224)</f>
        <v>0</v>
      </c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</row>
    <row r="225" spans="1:52" ht="12.75" x14ac:dyDescent="0.2">
      <c r="A225" s="41"/>
      <c r="B225" s="13">
        <v>160</v>
      </c>
      <c r="C225" s="22">
        <v>0.6</v>
      </c>
      <c r="D225" s="178">
        <f>SUM(Venttiilit!R8)</f>
        <v>0</v>
      </c>
      <c r="E225" s="97">
        <f>SUM(D225*0.6)</f>
        <v>0</v>
      </c>
      <c r="F225" s="22">
        <v>1</v>
      </c>
      <c r="G225" s="178">
        <f>SUM(Venttiilit!R31)</f>
        <v>0</v>
      </c>
      <c r="H225" s="97">
        <f>SUM(G225*1)</f>
        <v>0</v>
      </c>
      <c r="I225" s="22">
        <v>0.8</v>
      </c>
      <c r="J225" s="178">
        <f>SUM(Venttiilit!R50)</f>
        <v>0</v>
      </c>
      <c r="K225" s="372">
        <f>SUM(J225*0.8)</f>
        <v>0</v>
      </c>
      <c r="L225" s="22">
        <v>1.04</v>
      </c>
      <c r="M225" s="178">
        <f>SUM(Venttiilit!R73)</f>
        <v>0</v>
      </c>
      <c r="N225" s="371">
        <f t="shared" si="8"/>
        <v>0</v>
      </c>
      <c r="O225" s="22">
        <v>0.32</v>
      </c>
      <c r="P225" s="178">
        <f>SUM(Venttiilit!R91)</f>
        <v>0</v>
      </c>
      <c r="Q225" s="371">
        <f t="shared" si="9"/>
        <v>0</v>
      </c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</row>
    <row r="226" spans="1:52" ht="12.75" x14ac:dyDescent="0.2">
      <c r="A226" s="41"/>
      <c r="B226" s="13">
        <v>200</v>
      </c>
      <c r="C226" s="22">
        <v>0.6</v>
      </c>
      <c r="D226" s="178">
        <f>SUM(Venttiilit!R9)</f>
        <v>0</v>
      </c>
      <c r="E226" s="97">
        <f>SUM(D226*0.6)</f>
        <v>0</v>
      </c>
      <c r="F226" s="22">
        <v>1.05</v>
      </c>
      <c r="G226" s="178">
        <f>SUM(Venttiilit!R32)</f>
        <v>0</v>
      </c>
      <c r="H226" s="97">
        <f>SUM(G226*1.05)</f>
        <v>0</v>
      </c>
      <c r="I226" s="22">
        <v>0.8</v>
      </c>
      <c r="J226" s="178">
        <f>SUM(Venttiilit!R51)</f>
        <v>0</v>
      </c>
      <c r="K226" s="372">
        <f>SUM(J226*0.8)</f>
        <v>0</v>
      </c>
      <c r="L226" s="22">
        <v>1.04</v>
      </c>
      <c r="M226" s="178">
        <f>SUM(Venttiilit!R74)</f>
        <v>0</v>
      </c>
      <c r="N226" s="371">
        <f t="shared" si="8"/>
        <v>0</v>
      </c>
      <c r="O226" s="22">
        <v>0.34</v>
      </c>
      <c r="P226" s="178">
        <f>SUM(Venttiilit!R92)</f>
        <v>0</v>
      </c>
      <c r="Q226" s="371">
        <f t="shared" si="9"/>
        <v>0</v>
      </c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</row>
    <row r="227" spans="1:52" ht="12.75" x14ac:dyDescent="0.2">
      <c r="A227" s="41"/>
      <c r="B227" s="13">
        <v>250</v>
      </c>
      <c r="C227" s="22">
        <v>0.6</v>
      </c>
      <c r="D227" s="178">
        <f>SUM(Venttiilit!R10)</f>
        <v>0</v>
      </c>
      <c r="E227" s="97">
        <f>SUM(D227*0.6)</f>
        <v>0</v>
      </c>
      <c r="F227" s="22">
        <v>1.1399999999999999</v>
      </c>
      <c r="G227" s="178">
        <f>SUM(Venttiilit!R33)</f>
        <v>0</v>
      </c>
      <c r="H227" s="97">
        <f>SUM(G227*1.14)</f>
        <v>0</v>
      </c>
      <c r="I227" s="22">
        <v>0.8</v>
      </c>
      <c r="J227" s="178">
        <f>SUM(Venttiilit!R52)</f>
        <v>0</v>
      </c>
      <c r="K227" s="373">
        <f>SUM(J227*0.8)</f>
        <v>0</v>
      </c>
      <c r="L227" s="22">
        <v>1.04</v>
      </c>
      <c r="M227" s="178">
        <f>SUM(Venttiilit!R75)</f>
        <v>0</v>
      </c>
      <c r="N227" s="371">
        <f t="shared" si="8"/>
        <v>0</v>
      </c>
      <c r="O227" s="22">
        <v>0.38</v>
      </c>
      <c r="P227" s="178">
        <f>SUM(Venttiilit!R93)</f>
        <v>0</v>
      </c>
      <c r="Q227" s="371">
        <f t="shared" si="9"/>
        <v>0</v>
      </c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</row>
    <row r="228" spans="1:52" ht="12.75" x14ac:dyDescent="0.2">
      <c r="A228" s="41"/>
      <c r="B228" s="13">
        <v>315</v>
      </c>
      <c r="C228" s="22">
        <v>0.6</v>
      </c>
      <c r="D228" s="178">
        <f>SUM(Venttiilit!R11)</f>
        <v>0</v>
      </c>
      <c r="E228" s="97">
        <f>SUM(D228*0.6)</f>
        <v>0</v>
      </c>
      <c r="F228" s="22">
        <v>1.48</v>
      </c>
      <c r="G228" s="178">
        <f>SUM(Venttiilit!R34)</f>
        <v>0</v>
      </c>
      <c r="H228" s="97">
        <f>SUM(G228*1.48)</f>
        <v>0</v>
      </c>
      <c r="I228" s="22">
        <v>0.95</v>
      </c>
      <c r="J228" s="178">
        <f>SUM(Venttiilit!R53)</f>
        <v>0</v>
      </c>
      <c r="K228" s="373">
        <f>SUM(J228*0.95)</f>
        <v>0</v>
      </c>
      <c r="L228" s="22">
        <v>1.5</v>
      </c>
      <c r="M228" s="178">
        <f>SUM(Venttiilit!R76)</f>
        <v>0</v>
      </c>
      <c r="N228" s="371">
        <f t="shared" si="8"/>
        <v>0</v>
      </c>
      <c r="O228" s="22">
        <v>0.43</v>
      </c>
      <c r="P228" s="178">
        <f>SUM(Venttiilit!R94)</f>
        <v>0</v>
      </c>
      <c r="Q228" s="371">
        <f t="shared" si="9"/>
        <v>0</v>
      </c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</row>
    <row r="229" spans="1:52" ht="12.75" x14ac:dyDescent="0.2">
      <c r="A229" s="41"/>
      <c r="B229" s="13">
        <v>400</v>
      </c>
      <c r="C229" s="22">
        <v>0.73</v>
      </c>
      <c r="D229" s="178">
        <f>SUM(Venttiilit!R12)</f>
        <v>0</v>
      </c>
      <c r="E229" s="97">
        <f>SUM(D229*0.73)</f>
        <v>0</v>
      </c>
      <c r="F229" s="22">
        <v>1.7</v>
      </c>
      <c r="G229" s="178">
        <f>SUM(Venttiilit!R35)</f>
        <v>0</v>
      </c>
      <c r="H229" s="97">
        <f>SUM(G229*1.7)</f>
        <v>0</v>
      </c>
      <c r="I229" s="22">
        <v>1.1000000000000001</v>
      </c>
      <c r="J229" s="178">
        <f>SUM(Venttiilit!R54)</f>
        <v>0</v>
      </c>
      <c r="K229" s="373">
        <f>SUM(J229*1.1)</f>
        <v>0</v>
      </c>
      <c r="L229" s="22">
        <v>1.7</v>
      </c>
      <c r="M229" s="178">
        <f>SUM(Venttiilit!R77)</f>
        <v>0</v>
      </c>
      <c r="N229" s="371">
        <f t="shared" si="8"/>
        <v>0</v>
      </c>
      <c r="O229" s="22">
        <v>0.5</v>
      </c>
      <c r="P229" s="388">
        <f>SUM(Venttiilit!R95)</f>
        <v>0</v>
      </c>
      <c r="Q229" s="371">
        <f t="shared" si="9"/>
        <v>0</v>
      </c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</row>
    <row r="230" spans="1:52" ht="13.5" thickBot="1" x14ac:dyDescent="0.25">
      <c r="A230" s="41"/>
      <c r="B230" s="13">
        <v>500</v>
      </c>
      <c r="C230" s="22">
        <v>0.98</v>
      </c>
      <c r="D230" s="178">
        <f>SUM(Venttiilit!R13)</f>
        <v>0</v>
      </c>
      <c r="E230" s="97">
        <f>SUM(D230*0.98)</f>
        <v>0</v>
      </c>
      <c r="F230" s="22">
        <v>1.93</v>
      </c>
      <c r="G230" s="178">
        <f>SUM(Venttiilit!R36)</f>
        <v>0</v>
      </c>
      <c r="H230" s="97">
        <f>SUM(G230*1.93)</f>
        <v>0</v>
      </c>
      <c r="I230" s="22">
        <v>1.28</v>
      </c>
      <c r="J230" s="178">
        <f>SUM(Venttiilit!R55)</f>
        <v>0</v>
      </c>
      <c r="K230" s="373">
        <f>SUM(J230*1.28)</f>
        <v>0</v>
      </c>
      <c r="L230" s="22">
        <v>1.9</v>
      </c>
      <c r="M230" s="178">
        <f>SUM(Venttiilit!R78)</f>
        <v>0</v>
      </c>
      <c r="N230" s="371">
        <f t="shared" si="8"/>
        <v>0</v>
      </c>
      <c r="O230" s="380"/>
      <c r="P230" s="383" t="s">
        <v>0</v>
      </c>
      <c r="Q230" s="677">
        <f>SUM(Q223:Q229)</f>
        <v>0</v>
      </c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</row>
    <row r="231" spans="1:52" ht="12.75" x14ac:dyDescent="0.2">
      <c r="A231" s="41"/>
      <c r="B231" s="13">
        <v>630</v>
      </c>
      <c r="C231" s="22">
        <v>1.25</v>
      </c>
      <c r="D231" s="178">
        <f>SUM(Venttiilit!R14)</f>
        <v>0</v>
      </c>
      <c r="E231" s="97">
        <f>SUM(D231*1.25)</f>
        <v>0</v>
      </c>
      <c r="F231" s="22">
        <v>2.38</v>
      </c>
      <c r="G231" s="178">
        <f>SUM(Venttiilit!R37)</f>
        <v>0</v>
      </c>
      <c r="H231" s="97">
        <f>SUM(G231*2.38)</f>
        <v>0</v>
      </c>
      <c r="I231" s="22">
        <v>1.6</v>
      </c>
      <c r="J231" s="178">
        <f>SUM(Venttiilit!R56)</f>
        <v>0</v>
      </c>
      <c r="K231" s="373">
        <f>SUM(J231*1.6)</f>
        <v>0</v>
      </c>
      <c r="L231" s="22">
        <v>2.5</v>
      </c>
      <c r="M231" s="178">
        <f>SUM(Venttiilit!R79)</f>
        <v>0</v>
      </c>
      <c r="N231" s="371">
        <f t="shared" si="8"/>
        <v>0</v>
      </c>
      <c r="O231" s="381"/>
      <c r="P231" s="382" t="s">
        <v>67</v>
      </c>
      <c r="Q231" s="212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</row>
    <row r="232" spans="1:52" ht="12.75" x14ac:dyDescent="0.2">
      <c r="A232" s="41"/>
      <c r="B232" s="13">
        <v>800</v>
      </c>
      <c r="C232" s="22">
        <v>1.43</v>
      </c>
      <c r="D232" s="178">
        <f>SUM(Venttiilit!R15)</f>
        <v>0</v>
      </c>
      <c r="E232" s="97">
        <f>SUM(D232*1.43)</f>
        <v>0</v>
      </c>
      <c r="F232" s="21"/>
      <c r="G232" s="55"/>
      <c r="H232" s="55"/>
      <c r="I232" s="22">
        <v>1.88</v>
      </c>
      <c r="J232" s="178">
        <f>SUM(Venttiilit!R57)</f>
        <v>0</v>
      </c>
      <c r="K232" s="373">
        <f>SUM(J232*1.88)</f>
        <v>0</v>
      </c>
      <c r="L232" s="22">
        <v>3.2</v>
      </c>
      <c r="M232" s="178">
        <f>SUM(Venttiilit!R80)</f>
        <v>0</v>
      </c>
      <c r="N232" s="371">
        <f t="shared" si="8"/>
        <v>0</v>
      </c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</row>
    <row r="233" spans="1:52" ht="12.75" x14ac:dyDescent="0.2">
      <c r="A233" s="41"/>
      <c r="B233" s="13">
        <v>1000</v>
      </c>
      <c r="C233" s="22">
        <v>1.76</v>
      </c>
      <c r="D233" s="178">
        <f>SUM(Venttiilit!R16)</f>
        <v>0</v>
      </c>
      <c r="E233" s="97">
        <f>SUM(D233*1.76)</f>
        <v>0</v>
      </c>
      <c r="F233" s="21"/>
      <c r="G233" s="55"/>
      <c r="H233" s="55"/>
      <c r="I233" s="22">
        <v>2.23</v>
      </c>
      <c r="J233" s="178">
        <f>SUM(Venttiilit!R58)</f>
        <v>0</v>
      </c>
      <c r="K233" s="373">
        <f>SUM(J233*2.23)</f>
        <v>0</v>
      </c>
      <c r="L233" s="22">
        <v>3.6</v>
      </c>
      <c r="M233" s="178">
        <f>SUM(Venttiilit!R81)</f>
        <v>0</v>
      </c>
      <c r="N233" s="371">
        <f t="shared" si="8"/>
        <v>0</v>
      </c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</row>
    <row r="234" spans="1:52" ht="12.75" x14ac:dyDescent="0.2">
      <c r="A234" s="41"/>
      <c r="B234" s="13">
        <v>1250</v>
      </c>
      <c r="C234" s="22">
        <v>2.16</v>
      </c>
      <c r="D234" s="178">
        <f>SUM(Venttiilit!R17)</f>
        <v>0</v>
      </c>
      <c r="E234" s="97">
        <f>SUM(D234*2.16)</f>
        <v>0</v>
      </c>
      <c r="F234" s="21"/>
      <c r="G234" s="55"/>
      <c r="H234" s="55"/>
      <c r="I234" s="22">
        <v>2.57</v>
      </c>
      <c r="J234" s="178">
        <f>SUM(Venttiilit!R59)</f>
        <v>0</v>
      </c>
      <c r="K234" s="373">
        <f>SUM(J234*2.57)</f>
        <v>0</v>
      </c>
      <c r="L234" s="22">
        <v>4</v>
      </c>
      <c r="M234" s="178">
        <f>SUM(Venttiilit!R82)</f>
        <v>0</v>
      </c>
      <c r="N234" s="371">
        <f t="shared" si="8"/>
        <v>0</v>
      </c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</row>
    <row r="235" spans="1:52" ht="12.75" x14ac:dyDescent="0.2">
      <c r="A235" s="41"/>
      <c r="B235" s="13">
        <v>1400</v>
      </c>
      <c r="C235" s="22">
        <v>2.5499999999999998</v>
      </c>
      <c r="D235" s="178">
        <f>SUM(Venttiilit!R18)</f>
        <v>0</v>
      </c>
      <c r="E235" s="97">
        <f>SUM(D235*2.55)</f>
        <v>0</v>
      </c>
      <c r="F235" s="21"/>
      <c r="G235" s="55"/>
      <c r="H235" s="55"/>
      <c r="I235" s="22">
        <v>2.94</v>
      </c>
      <c r="J235" s="178">
        <f>SUM(Venttiilit!R60)</f>
        <v>0</v>
      </c>
      <c r="K235" s="373">
        <f>SUM(J235*2.94)</f>
        <v>0</v>
      </c>
      <c r="L235" s="21"/>
      <c r="M235" s="173"/>
      <c r="N235" s="174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</row>
    <row r="236" spans="1:52" ht="12.75" x14ac:dyDescent="0.2">
      <c r="A236" s="41"/>
      <c r="B236" s="13">
        <v>1600</v>
      </c>
      <c r="C236" s="22">
        <v>3.01</v>
      </c>
      <c r="D236" s="178">
        <f>SUM(Venttiilit!R19)</f>
        <v>0</v>
      </c>
      <c r="E236" s="97">
        <f>SUM(D236*3.01)</f>
        <v>0</v>
      </c>
      <c r="F236" s="21"/>
      <c r="G236" s="55"/>
      <c r="H236" s="55"/>
      <c r="I236" s="22">
        <v>3.31</v>
      </c>
      <c r="J236" s="178">
        <f>SUM(Venttiilit!R61)</f>
        <v>0</v>
      </c>
      <c r="K236" s="373">
        <f>SUM(J236*3.31)</f>
        <v>0</v>
      </c>
      <c r="L236" s="21"/>
      <c r="M236" s="173"/>
      <c r="N236" s="174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</row>
    <row r="237" spans="1:52" ht="12.75" x14ac:dyDescent="0.2">
      <c r="A237" s="41"/>
      <c r="B237" s="13">
        <v>1800</v>
      </c>
      <c r="C237" s="22">
        <v>3.46</v>
      </c>
      <c r="D237" s="178">
        <f>SUM(Venttiilit!R20)</f>
        <v>0</v>
      </c>
      <c r="E237" s="97">
        <f>SUM(D237*3.46)</f>
        <v>0</v>
      </c>
      <c r="F237" s="21"/>
      <c r="G237" s="55"/>
      <c r="H237" s="55"/>
      <c r="I237" s="22">
        <v>3.67</v>
      </c>
      <c r="J237" s="178">
        <f>SUM(Venttiilit!R62)</f>
        <v>0</v>
      </c>
      <c r="K237" s="373">
        <f>SUM(J237*3.67)</f>
        <v>0</v>
      </c>
      <c r="L237" s="21"/>
      <c r="M237" s="173"/>
      <c r="N237" s="174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</row>
    <row r="238" spans="1:52" ht="12.75" x14ac:dyDescent="0.2">
      <c r="A238" s="41"/>
      <c r="B238" s="13">
        <v>2000</v>
      </c>
      <c r="C238" s="13">
        <v>3.97</v>
      </c>
      <c r="D238" s="178">
        <f>SUM(Venttiilit!R21)</f>
        <v>0</v>
      </c>
      <c r="E238" s="97">
        <f>SUM(D238*3.97)</f>
        <v>0</v>
      </c>
      <c r="F238" s="20"/>
      <c r="G238" s="9"/>
      <c r="H238" s="9"/>
      <c r="I238" s="22">
        <v>4.05</v>
      </c>
      <c r="J238" s="178">
        <f>SUM(Venttiilit!R63)</f>
        <v>0</v>
      </c>
      <c r="K238" s="373">
        <f>SUM(J238*4.05)</f>
        <v>0</v>
      </c>
      <c r="L238" s="21"/>
      <c r="M238" s="173"/>
      <c r="N238" s="174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</row>
    <row r="239" spans="1:52" ht="12.75" x14ac:dyDescent="0.2">
      <c r="A239" s="41"/>
      <c r="B239" s="13">
        <v>2400</v>
      </c>
      <c r="C239" s="22">
        <v>4.4000000000000004</v>
      </c>
      <c r="D239" s="178">
        <f>SUM(Venttiilit!R22)</f>
        <v>0</v>
      </c>
      <c r="E239" s="97">
        <f>SUM(D239*4.4)</f>
        <v>0</v>
      </c>
      <c r="F239" s="21"/>
      <c r="G239" s="55"/>
      <c r="H239" s="55"/>
      <c r="I239" s="22">
        <v>4.43</v>
      </c>
      <c r="J239" s="178">
        <f>SUM(Venttiilit!R64)</f>
        <v>0</v>
      </c>
      <c r="K239" s="373">
        <f>SUM(J239*4.43)</f>
        <v>0</v>
      </c>
      <c r="L239" s="21"/>
      <c r="M239" s="173"/>
      <c r="N239" s="174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</row>
    <row r="240" spans="1:52" ht="13.5" thickBot="1" x14ac:dyDescent="0.25">
      <c r="B240" s="5"/>
      <c r="C240" s="59"/>
      <c r="D240" s="170" t="s">
        <v>0</v>
      </c>
      <c r="E240" s="674">
        <f>SUM(E223:E239)</f>
        <v>0</v>
      </c>
      <c r="F240" s="59"/>
      <c r="G240" s="89" t="s">
        <v>0</v>
      </c>
      <c r="H240" s="674">
        <f>SUM(H223:H231)</f>
        <v>0</v>
      </c>
      <c r="I240" s="59"/>
      <c r="J240" s="170" t="s">
        <v>0</v>
      </c>
      <c r="K240" s="674">
        <f>SUM(K223:K239)</f>
        <v>0</v>
      </c>
      <c r="L240" s="59"/>
      <c r="M240" s="170" t="s">
        <v>0</v>
      </c>
      <c r="N240" s="674">
        <f>SUM(N223:N234)</f>
        <v>0</v>
      </c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</row>
    <row r="241" spans="2:52" x14ac:dyDescent="0.45">
      <c r="B241" s="5"/>
      <c r="C241" s="59"/>
      <c r="F241" s="89"/>
      <c r="I241" s="89"/>
      <c r="L241" s="8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</row>
    <row r="242" spans="2:52" ht="12.75" x14ac:dyDescent="0.2">
      <c r="B242" s="155"/>
      <c r="C242" s="153">
        <v>6</v>
      </c>
      <c r="D242" s="11"/>
      <c r="E242" s="155"/>
      <c r="F242" s="153">
        <v>7</v>
      </c>
      <c r="G242" s="11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</row>
    <row r="243" spans="2:52" ht="12.75" x14ac:dyDescent="0.2">
      <c r="B243" s="48" t="s">
        <v>0</v>
      </c>
      <c r="C243" s="82" t="s">
        <v>145</v>
      </c>
      <c r="D243" s="58" t="s">
        <v>0</v>
      </c>
      <c r="E243" s="48" t="s">
        <v>0</v>
      </c>
      <c r="F243" s="82" t="s">
        <v>145</v>
      </c>
      <c r="G243" s="58" t="s">
        <v>0</v>
      </c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</row>
    <row r="244" spans="2:52" ht="12.75" x14ac:dyDescent="0.2">
      <c r="B244" s="22">
        <v>0.9</v>
      </c>
      <c r="C244" s="180">
        <f>SUM(Venttiilit!R102)</f>
        <v>0</v>
      </c>
      <c r="D244" s="371">
        <f t="shared" ref="D244:D252" si="10">SUM(B244*C244)</f>
        <v>0</v>
      </c>
      <c r="E244" s="22">
        <v>1.2</v>
      </c>
      <c r="F244" s="180">
        <f>SUM(Venttiilit!R117)</f>
        <v>0</v>
      </c>
      <c r="G244" s="371">
        <f t="shared" ref="G244:G252" si="11">SUM(E244*F244)</f>
        <v>0</v>
      </c>
      <c r="I244" s="60" t="s">
        <v>416</v>
      </c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</row>
    <row r="245" spans="2:52" ht="12.75" x14ac:dyDescent="0.2">
      <c r="B245" s="22">
        <v>0.9</v>
      </c>
      <c r="C245" s="178">
        <f>SUM(Venttiilit!R103)</f>
        <v>0</v>
      </c>
      <c r="D245" s="372">
        <f t="shared" si="10"/>
        <v>0</v>
      </c>
      <c r="E245" s="22">
        <v>1.2</v>
      </c>
      <c r="F245" s="180">
        <f>SUM(Venttiilit!R118)</f>
        <v>0</v>
      </c>
      <c r="G245" s="372">
        <f t="shared" si="11"/>
        <v>0</v>
      </c>
      <c r="I245" s="5" t="s">
        <v>417</v>
      </c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</row>
    <row r="246" spans="2:52" ht="12.75" x14ac:dyDescent="0.2">
      <c r="B246" s="22">
        <v>0.9</v>
      </c>
      <c r="C246" s="178">
        <f>SUM(Venttiilit!R104)</f>
        <v>0</v>
      </c>
      <c r="D246" s="371">
        <f t="shared" si="10"/>
        <v>0</v>
      </c>
      <c r="E246" s="22">
        <v>1.6</v>
      </c>
      <c r="F246" s="180">
        <f>SUM(Venttiilit!R119)</f>
        <v>0</v>
      </c>
      <c r="G246" s="371">
        <f t="shared" si="11"/>
        <v>0</v>
      </c>
      <c r="I246" s="80" t="s">
        <v>413</v>
      </c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</row>
    <row r="247" spans="2:52" ht="12.75" x14ac:dyDescent="0.2">
      <c r="B247" s="22">
        <v>1</v>
      </c>
      <c r="C247" s="178">
        <f>SUM(Venttiilit!R105)</f>
        <v>0</v>
      </c>
      <c r="D247" s="372">
        <f t="shared" si="10"/>
        <v>0</v>
      </c>
      <c r="E247" s="22">
        <v>1.6</v>
      </c>
      <c r="F247" s="180">
        <f>SUM(Venttiilit!R120)</f>
        <v>0</v>
      </c>
      <c r="G247" s="372">
        <f t="shared" si="11"/>
        <v>0</v>
      </c>
      <c r="I247" s="80" t="s">
        <v>414</v>
      </c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</row>
    <row r="248" spans="2:52" ht="12.75" x14ac:dyDescent="0.2">
      <c r="B248" s="22">
        <v>1</v>
      </c>
      <c r="C248" s="178">
        <f>SUM(Venttiilit!R106)</f>
        <v>0</v>
      </c>
      <c r="D248" s="371">
        <f t="shared" si="10"/>
        <v>0</v>
      </c>
      <c r="E248" s="22">
        <v>1.6</v>
      </c>
      <c r="F248" s="180">
        <f>SUM(Venttiilit!R121)</f>
        <v>0</v>
      </c>
      <c r="G248" s="371">
        <f t="shared" si="11"/>
        <v>0</v>
      </c>
      <c r="I248" s="80" t="s">
        <v>418</v>
      </c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</row>
    <row r="249" spans="2:52" ht="12.75" x14ac:dyDescent="0.2">
      <c r="B249" s="22">
        <v>1</v>
      </c>
      <c r="C249" s="178">
        <f>SUM(Venttiilit!R107)</f>
        <v>0</v>
      </c>
      <c r="D249" s="372">
        <f t="shared" si="10"/>
        <v>0</v>
      </c>
      <c r="E249" s="22">
        <v>1.9</v>
      </c>
      <c r="F249" s="180">
        <f>SUM(Venttiilit!R122)</f>
        <v>0</v>
      </c>
      <c r="G249" s="372">
        <f t="shared" si="11"/>
        <v>0</v>
      </c>
      <c r="I249" s="80" t="s">
        <v>419</v>
      </c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</row>
    <row r="250" spans="2:52" ht="12.75" x14ac:dyDescent="0.2">
      <c r="B250" s="22">
        <v>1.21</v>
      </c>
      <c r="C250" s="178">
        <f>SUM(Venttiilit!R108)</f>
        <v>0</v>
      </c>
      <c r="D250" s="371">
        <f t="shared" si="10"/>
        <v>0</v>
      </c>
      <c r="E250" s="22">
        <v>2.2000000000000002</v>
      </c>
      <c r="F250" s="180">
        <f>SUM(Venttiilit!R123)</f>
        <v>0</v>
      </c>
      <c r="G250" s="371">
        <f t="shared" si="11"/>
        <v>0</v>
      </c>
      <c r="I250" s="80" t="s">
        <v>437</v>
      </c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</row>
    <row r="251" spans="2:52" ht="12.75" x14ac:dyDescent="0.2">
      <c r="B251" s="357">
        <v>1.81</v>
      </c>
      <c r="C251" s="178">
        <f>SUM(Venttiilit!R109)</f>
        <v>0</v>
      </c>
      <c r="D251" s="372">
        <f t="shared" si="10"/>
        <v>0</v>
      </c>
      <c r="E251" s="357">
        <v>2.56</v>
      </c>
      <c r="F251" s="180">
        <f>SUM(Venttiilit!R124)</f>
        <v>0</v>
      </c>
      <c r="G251" s="372">
        <f t="shared" si="11"/>
        <v>0</v>
      </c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</row>
    <row r="252" spans="2:52" ht="13.5" thickBot="1" x14ac:dyDescent="0.25">
      <c r="B252" s="13">
        <v>2.42</v>
      </c>
      <c r="C252" s="178">
        <f>SUM(Venttiilit!R110)</f>
        <v>0</v>
      </c>
      <c r="D252" s="371">
        <f t="shared" si="10"/>
        <v>0</v>
      </c>
      <c r="E252" s="22">
        <v>3.2</v>
      </c>
      <c r="F252" s="180">
        <f>SUM(Venttiilit!R125)</f>
        <v>0</v>
      </c>
      <c r="G252" s="371">
        <f t="shared" si="11"/>
        <v>0</v>
      </c>
      <c r="M252" s="88"/>
      <c r="N252" s="89"/>
      <c r="O252"/>
      <c r="P252" s="184" t="s">
        <v>204</v>
      </c>
      <c r="Q252" s="89" t="s">
        <v>0</v>
      </c>
      <c r="R252" s="657">
        <f>SUM(E240+H240+K240+N240+Q230+D253+G253)</f>
        <v>0</v>
      </c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</row>
    <row r="253" spans="2:52" ht="13.5" thickBot="1" x14ac:dyDescent="0.25">
      <c r="B253" s="5"/>
      <c r="C253" s="89" t="s">
        <v>0</v>
      </c>
      <c r="D253" s="674">
        <f>SUM(D244:D252)</f>
        <v>0</v>
      </c>
      <c r="E253" s="5"/>
      <c r="F253" s="89" t="s">
        <v>0</v>
      </c>
      <c r="G253" s="674">
        <f>SUM(G244:G252)</f>
        <v>0</v>
      </c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</row>
    <row r="254" spans="2:52" ht="6.75" customHeight="1" x14ac:dyDescent="0.2">
      <c r="B254" s="5"/>
      <c r="C254" s="5"/>
      <c r="D254" s="5"/>
      <c r="E254" s="5"/>
      <c r="F254" s="5"/>
      <c r="G254" s="5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</row>
    <row r="255" spans="2:52" ht="12.75" x14ac:dyDescent="0.2">
      <c r="B255" s="5"/>
      <c r="C255" s="46"/>
      <c r="D255" s="5"/>
      <c r="E255" s="46"/>
      <c r="F255" s="5"/>
      <c r="G255" s="5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</row>
    <row r="256" spans="2:52" ht="3.75" customHeight="1" x14ac:dyDescent="0.2">
      <c r="C256" s="46"/>
      <c r="D256" s="5"/>
      <c r="E256" s="46"/>
      <c r="F256" s="5"/>
      <c r="G256" s="5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</row>
    <row r="257" spans="1:52" ht="36" customHeight="1" x14ac:dyDescent="0.2">
      <c r="C257" s="46"/>
      <c r="D257" s="5"/>
      <c r="E257" s="46"/>
      <c r="F257" s="5"/>
      <c r="G257" s="5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</row>
    <row r="258" spans="1:52" ht="1.1499999999999999" customHeight="1" x14ac:dyDescent="0.2">
      <c r="C258" s="46"/>
      <c r="D258" s="5"/>
      <c r="E258" s="46"/>
      <c r="F258" s="5"/>
      <c r="G258" s="5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</row>
    <row r="259" spans="1:52" ht="9" customHeight="1" x14ac:dyDescent="0.2">
      <c r="A259" s="187"/>
      <c r="B259" s="191"/>
      <c r="C259" s="200"/>
      <c r="D259" s="187"/>
      <c r="E259" s="200"/>
      <c r="F259" s="187"/>
      <c r="G259" s="187"/>
      <c r="H259" s="187"/>
      <c r="I259" s="187"/>
      <c r="J259" s="187"/>
      <c r="K259" s="187"/>
      <c r="L259" s="187"/>
      <c r="M259" s="187"/>
      <c r="N259" s="187"/>
      <c r="O259" s="187"/>
      <c r="P259" s="187"/>
      <c r="Q259" s="187"/>
      <c r="R259" s="187"/>
      <c r="S259" s="187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</row>
    <row r="260" spans="1:52" ht="14.25" customHeight="1" x14ac:dyDescent="0.2">
      <c r="A260" s="187"/>
      <c r="B260" s="191"/>
      <c r="C260" s="200"/>
      <c r="D260" s="187"/>
      <c r="E260" s="200"/>
      <c r="F260" s="187"/>
      <c r="G260" s="187"/>
      <c r="H260" s="187"/>
      <c r="I260" s="187"/>
      <c r="J260" s="324" t="s">
        <v>221</v>
      </c>
      <c r="K260" s="187"/>
      <c r="L260" s="187"/>
      <c r="M260" s="187"/>
      <c r="N260" s="187"/>
      <c r="O260" s="187"/>
      <c r="P260" s="187"/>
      <c r="Q260" s="187"/>
      <c r="R260" s="187"/>
      <c r="S260" s="187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</row>
    <row r="261" spans="1:52" ht="15.75" x14ac:dyDescent="0.25">
      <c r="A261" s="187"/>
      <c r="B261" s="187"/>
      <c r="C261" s="196" t="s">
        <v>505</v>
      </c>
      <c r="D261" s="187"/>
      <c r="E261" s="187"/>
      <c r="F261" s="187"/>
      <c r="G261" s="197"/>
      <c r="H261" s="187"/>
      <c r="I261" s="187"/>
      <c r="J261" s="187"/>
      <c r="K261" s="187"/>
      <c r="L261" s="187"/>
      <c r="M261" s="187"/>
      <c r="N261" s="187"/>
      <c r="O261" s="187"/>
      <c r="P261" s="187"/>
      <c r="Q261" s="187"/>
      <c r="R261" s="194"/>
      <c r="S261" s="187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</row>
    <row r="262" spans="1:52" ht="12.75" x14ac:dyDescent="0.2">
      <c r="A262" s="187"/>
      <c r="B262" s="187"/>
      <c r="C262" s="187"/>
      <c r="D262" s="187"/>
      <c r="E262" s="187"/>
      <c r="F262" s="187"/>
      <c r="G262" s="187"/>
      <c r="H262" s="187"/>
      <c r="I262" s="187"/>
      <c r="J262" s="187"/>
      <c r="K262" s="187"/>
      <c r="L262" s="187" t="s">
        <v>125</v>
      </c>
      <c r="M262" s="187"/>
      <c r="N262" s="187"/>
      <c r="O262" s="187"/>
      <c r="P262" s="187"/>
      <c r="Q262" s="187"/>
      <c r="R262" s="187"/>
      <c r="S262" s="187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</row>
    <row r="263" spans="1:52" ht="12.75" x14ac:dyDescent="0.2">
      <c r="A263" s="187"/>
      <c r="B263" s="187"/>
      <c r="C263" s="191">
        <v>1</v>
      </c>
      <c r="D263" s="187" t="s">
        <v>439</v>
      </c>
      <c r="E263" s="187"/>
      <c r="F263" s="187"/>
      <c r="G263" s="187"/>
      <c r="H263" s="187"/>
      <c r="I263" s="187"/>
      <c r="J263" s="187"/>
      <c r="K263" s="187"/>
      <c r="L263" s="187" t="s">
        <v>388</v>
      </c>
      <c r="M263" s="187"/>
      <c r="N263" s="187"/>
      <c r="O263" s="187"/>
      <c r="P263" s="187"/>
      <c r="Q263" s="187"/>
      <c r="R263" s="187"/>
      <c r="S263" s="187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</row>
    <row r="264" spans="1:52" ht="12.75" x14ac:dyDescent="0.2">
      <c r="A264" s="187"/>
      <c r="B264" s="187"/>
      <c r="C264" s="191">
        <v>2</v>
      </c>
      <c r="D264" s="187" t="s">
        <v>440</v>
      </c>
      <c r="E264" s="187"/>
      <c r="F264" s="187"/>
      <c r="G264" s="187"/>
      <c r="H264" s="187"/>
      <c r="I264" s="187"/>
      <c r="J264" s="187"/>
      <c r="K264" s="187"/>
      <c r="L264" s="187" t="s">
        <v>389</v>
      </c>
      <c r="M264" s="187"/>
      <c r="N264" s="187"/>
      <c r="O264" s="187"/>
      <c r="P264" s="187"/>
      <c r="Q264" s="187"/>
      <c r="R264" s="187"/>
      <c r="S264" s="187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</row>
    <row r="265" spans="1:52" ht="12.75" x14ac:dyDescent="0.2">
      <c r="A265" s="187"/>
      <c r="B265" s="187"/>
      <c r="C265" s="191"/>
      <c r="D265" s="187"/>
      <c r="E265" s="187"/>
      <c r="F265" s="187"/>
      <c r="G265" s="187"/>
      <c r="H265" s="187"/>
      <c r="I265" s="187"/>
      <c r="J265" s="187"/>
      <c r="K265" s="187"/>
      <c r="L265" s="187"/>
      <c r="M265" s="187"/>
      <c r="N265" s="187"/>
      <c r="O265" s="187"/>
      <c r="P265" s="187"/>
      <c r="Q265" s="187"/>
      <c r="R265" s="187"/>
      <c r="S265" s="187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</row>
    <row r="266" spans="1:52" ht="12.75" x14ac:dyDescent="0.2">
      <c r="A266" s="187"/>
      <c r="B266" s="187"/>
      <c r="C266" s="191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</row>
    <row r="267" spans="1:52" ht="12.75" x14ac:dyDescent="0.2">
      <c r="A267" s="187"/>
      <c r="B267" s="187"/>
      <c r="C267" s="198" t="s">
        <v>54</v>
      </c>
      <c r="D267" s="186"/>
      <c r="E267" s="201"/>
      <c r="F267" s="204">
        <v>1</v>
      </c>
      <c r="G267" s="188"/>
      <c r="H267" s="193"/>
      <c r="I267" s="204">
        <v>2</v>
      </c>
      <c r="J267" s="189"/>
      <c r="K267" s="187"/>
      <c r="L267" s="187" t="s">
        <v>236</v>
      </c>
      <c r="M267" s="187"/>
      <c r="N267" s="187"/>
      <c r="O267" s="187"/>
      <c r="P267" s="187"/>
      <c r="Q267" s="187"/>
      <c r="R267" s="187"/>
      <c r="S267" s="187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</row>
    <row r="268" spans="1:52" ht="12.75" x14ac:dyDescent="0.2">
      <c r="A268" s="187"/>
      <c r="B268" s="187"/>
      <c r="C268" s="199" t="s">
        <v>42</v>
      </c>
      <c r="D268" s="187"/>
      <c r="E268" s="201" t="s">
        <v>0</v>
      </c>
      <c r="F268" s="193" t="s">
        <v>145</v>
      </c>
      <c r="G268" s="188" t="s">
        <v>0</v>
      </c>
      <c r="H268" s="201" t="s">
        <v>0</v>
      </c>
      <c r="I268" s="193" t="s">
        <v>145</v>
      </c>
      <c r="J268" s="188" t="s">
        <v>0</v>
      </c>
      <c r="K268" s="187"/>
      <c r="L268" s="187"/>
      <c r="M268" s="187"/>
      <c r="N268" s="187"/>
      <c r="O268" s="187"/>
      <c r="P268" s="187"/>
      <c r="Q268" s="187"/>
      <c r="R268" s="187"/>
      <c r="S268" s="187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</row>
    <row r="269" spans="1:52" ht="12.75" x14ac:dyDescent="0.2">
      <c r="A269" s="187"/>
      <c r="B269" s="187"/>
      <c r="C269" s="719" t="s">
        <v>420</v>
      </c>
      <c r="D269" s="719"/>
      <c r="E269" s="192">
        <v>3.8</v>
      </c>
      <c r="F269" s="305">
        <f>SUM(Ilmanvaihtokoneet!Q8)</f>
        <v>0</v>
      </c>
      <c r="G269" s="369">
        <f t="shared" ref="G269:G274" si="12">SUM(E269*F269)</f>
        <v>0</v>
      </c>
      <c r="H269" s="190">
        <v>6.88</v>
      </c>
      <c r="I269" s="304">
        <f>SUM(Ilmanvaihtokoneet!Q20)</f>
        <v>0</v>
      </c>
      <c r="J269" s="370">
        <f t="shared" ref="J269:J274" si="13">SUM(H269*I269)</f>
        <v>0</v>
      </c>
      <c r="K269" s="187"/>
      <c r="L269" s="187" t="s">
        <v>126</v>
      </c>
      <c r="M269" s="187"/>
      <c r="N269" s="187"/>
      <c r="O269" s="187"/>
      <c r="P269" s="187"/>
      <c r="Q269" s="187"/>
      <c r="R269" s="187"/>
      <c r="S269" s="187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</row>
    <row r="270" spans="1:52" ht="12.75" x14ac:dyDescent="0.2">
      <c r="A270" s="187"/>
      <c r="B270" s="187"/>
      <c r="C270" s="719" t="s">
        <v>421</v>
      </c>
      <c r="D270" s="717"/>
      <c r="E270" s="190">
        <v>5.76</v>
      </c>
      <c r="F270" s="305">
        <f>SUM(Ilmanvaihtokoneet!Q9)</f>
        <v>0</v>
      </c>
      <c r="G270" s="369">
        <f t="shared" si="12"/>
        <v>0</v>
      </c>
      <c r="H270" s="190">
        <v>10.23</v>
      </c>
      <c r="I270" s="304">
        <f>SUM(Ilmanvaihtokoneet!Q21)</f>
        <v>0</v>
      </c>
      <c r="J270" s="370">
        <f t="shared" si="13"/>
        <v>0</v>
      </c>
      <c r="K270" s="187"/>
      <c r="L270" s="187" t="s">
        <v>127</v>
      </c>
      <c r="M270" s="187"/>
      <c r="N270" s="187"/>
      <c r="O270" s="187"/>
      <c r="P270" s="187"/>
      <c r="Q270" s="187"/>
      <c r="R270" s="187"/>
      <c r="S270" s="187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</row>
    <row r="271" spans="1:52" ht="12.75" x14ac:dyDescent="0.2">
      <c r="A271" s="187"/>
      <c r="B271" s="187"/>
      <c r="C271" s="719" t="s">
        <v>422</v>
      </c>
      <c r="D271" s="717"/>
      <c r="E271" s="190">
        <v>7.67</v>
      </c>
      <c r="F271" s="305">
        <f>SUM(Ilmanvaihtokoneet!Q10)</f>
        <v>0</v>
      </c>
      <c r="G271" s="369">
        <f t="shared" si="12"/>
        <v>0</v>
      </c>
      <c r="H271" s="190">
        <v>13.74</v>
      </c>
      <c r="I271" s="304">
        <f>SUM(Ilmanvaihtokoneet!Q22)</f>
        <v>0</v>
      </c>
      <c r="J271" s="370">
        <f t="shared" si="13"/>
        <v>0</v>
      </c>
      <c r="K271" s="187"/>
      <c r="L271" s="187" t="s">
        <v>75</v>
      </c>
      <c r="M271" s="187"/>
      <c r="N271" s="187"/>
      <c r="O271" s="187"/>
      <c r="P271" s="187"/>
      <c r="Q271" s="187"/>
      <c r="R271" s="187"/>
      <c r="S271" s="187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</row>
    <row r="272" spans="1:52" ht="12.75" x14ac:dyDescent="0.2">
      <c r="A272" s="187"/>
      <c r="B272" s="187"/>
      <c r="C272" s="719" t="s">
        <v>423</v>
      </c>
      <c r="D272" s="717"/>
      <c r="E272" s="190">
        <v>9.59</v>
      </c>
      <c r="F272" s="305">
        <f>SUM(Ilmanvaihtokoneet!Q11)</f>
        <v>0</v>
      </c>
      <c r="G272" s="369">
        <f t="shared" si="12"/>
        <v>0</v>
      </c>
      <c r="H272" s="190">
        <v>17.260000000000002</v>
      </c>
      <c r="I272" s="304">
        <f>SUM(Ilmanvaihtokoneet!Q23)</f>
        <v>0</v>
      </c>
      <c r="J272" s="370">
        <f t="shared" si="13"/>
        <v>0</v>
      </c>
      <c r="K272" s="187"/>
      <c r="L272" s="187" t="s">
        <v>136</v>
      </c>
      <c r="M272" s="187"/>
      <c r="N272" s="187"/>
      <c r="O272" s="187"/>
      <c r="P272" s="187"/>
      <c r="Q272" s="187"/>
      <c r="R272" s="187"/>
      <c r="S272" s="187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</row>
    <row r="273" spans="1:52" ht="12.75" x14ac:dyDescent="0.2">
      <c r="A273" s="187"/>
      <c r="B273" s="187"/>
      <c r="C273" s="719" t="s">
        <v>424</v>
      </c>
      <c r="D273" s="717"/>
      <c r="E273" s="192">
        <v>11.5</v>
      </c>
      <c r="F273" s="305">
        <f>SUM(Ilmanvaihtokoneet!Q12)</f>
        <v>0</v>
      </c>
      <c r="G273" s="369">
        <f t="shared" si="12"/>
        <v>0</v>
      </c>
      <c r="H273" s="190">
        <v>20.77</v>
      </c>
      <c r="I273" s="304">
        <f>SUM(Ilmanvaihtokoneet!Q24)</f>
        <v>0</v>
      </c>
      <c r="J273" s="370">
        <f t="shared" si="13"/>
        <v>0</v>
      </c>
      <c r="K273" s="187"/>
      <c r="L273" s="187"/>
      <c r="M273" s="187"/>
      <c r="N273" s="187"/>
      <c r="O273" s="187"/>
      <c r="P273" s="187"/>
      <c r="Q273" s="187"/>
      <c r="R273" s="187"/>
      <c r="S273" s="187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</row>
    <row r="274" spans="1:52" ht="12.75" x14ac:dyDescent="0.2">
      <c r="A274" s="187"/>
      <c r="B274" s="187"/>
      <c r="C274" s="717" t="s">
        <v>129</v>
      </c>
      <c r="D274" s="717"/>
      <c r="E274" s="190">
        <v>13.42</v>
      </c>
      <c r="F274" s="305">
        <f>SUM(Ilmanvaihtokoneet!Q13)</f>
        <v>0</v>
      </c>
      <c r="G274" s="369">
        <f t="shared" si="12"/>
        <v>0</v>
      </c>
      <c r="H274" s="190">
        <v>23.97</v>
      </c>
      <c r="I274" s="304">
        <f>SUM(Ilmanvaihtokoneet!Q25)</f>
        <v>0</v>
      </c>
      <c r="J274" s="370">
        <f t="shared" si="13"/>
        <v>0</v>
      </c>
      <c r="K274" s="187"/>
      <c r="L274" s="187"/>
      <c r="M274" s="187"/>
      <c r="N274" s="187"/>
      <c r="O274" s="187"/>
      <c r="P274" s="187"/>
      <c r="Q274" s="187"/>
      <c r="R274" s="187"/>
      <c r="S274" s="187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</row>
    <row r="275" spans="1:52" ht="15.75" customHeight="1" thickBot="1" x14ac:dyDescent="0.25">
      <c r="A275" s="187"/>
      <c r="B275" s="187"/>
      <c r="C275" s="187"/>
      <c r="D275" s="187"/>
      <c r="E275" s="187"/>
      <c r="F275" s="205" t="s">
        <v>0</v>
      </c>
      <c r="G275" s="678">
        <f>SUM(G269:G274)</f>
        <v>0</v>
      </c>
      <c r="H275" s="203"/>
      <c r="I275" s="205" t="s">
        <v>0</v>
      </c>
      <c r="J275" s="678">
        <f>SUM(J269:J274)</f>
        <v>0</v>
      </c>
      <c r="K275" s="187"/>
      <c r="L275" s="187"/>
      <c r="M275" s="187"/>
      <c r="N275" s="187"/>
      <c r="O275" s="187"/>
      <c r="P275" s="187"/>
      <c r="Q275" s="187"/>
      <c r="R275" s="187"/>
      <c r="S275" s="187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</row>
    <row r="276" spans="1:52" ht="12.75" x14ac:dyDescent="0.2">
      <c r="A276" s="187"/>
      <c r="B276" s="187"/>
      <c r="C276" s="187"/>
      <c r="D276" s="187"/>
      <c r="E276" s="187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</row>
    <row r="277" spans="1:52" ht="15.75" x14ac:dyDescent="0.25">
      <c r="A277" s="187"/>
      <c r="B277" s="187"/>
      <c r="C277" s="196" t="s">
        <v>132</v>
      </c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  <c r="R277" s="187"/>
      <c r="S277" s="187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</row>
    <row r="278" spans="1:52" ht="12.75" x14ac:dyDescent="0.2">
      <c r="A278" s="187"/>
      <c r="B278" s="187"/>
      <c r="C278" s="187" t="s">
        <v>151</v>
      </c>
      <c r="D278" s="187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</row>
    <row r="279" spans="1:52" ht="12.75" x14ac:dyDescent="0.2">
      <c r="A279" s="187"/>
      <c r="B279" s="187"/>
      <c r="C279" s="187" t="s">
        <v>152</v>
      </c>
      <c r="D279" s="187"/>
      <c r="E279" s="187"/>
      <c r="F279" s="187"/>
      <c r="G279" s="187"/>
      <c r="H279" s="187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</row>
    <row r="280" spans="1:52" ht="12.75" x14ac:dyDescent="0.2">
      <c r="A280" s="187"/>
      <c r="B280" s="187"/>
      <c r="C280" s="187"/>
      <c r="D280" s="187"/>
      <c r="E280" s="187"/>
      <c r="F280" s="191" t="s">
        <v>395</v>
      </c>
      <c r="G280" s="191"/>
      <c r="H280" s="191"/>
      <c r="I280" s="191" t="s">
        <v>10</v>
      </c>
      <c r="J280" s="191"/>
      <c r="K280" s="191"/>
      <c r="L280" s="191" t="s">
        <v>11</v>
      </c>
      <c r="M280" s="191"/>
      <c r="N280" s="187"/>
      <c r="O280" s="191" t="s">
        <v>26</v>
      </c>
      <c r="P280" s="187"/>
      <c r="Q280" s="187"/>
      <c r="R280" s="187"/>
      <c r="S280" s="187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</row>
    <row r="281" spans="1:52" ht="12.75" x14ac:dyDescent="0.2">
      <c r="A281" s="187"/>
      <c r="B281" s="202" t="s">
        <v>48</v>
      </c>
      <c r="C281" s="187"/>
      <c r="D281" s="187"/>
      <c r="E281" s="191" t="s">
        <v>0</v>
      </c>
      <c r="F281" s="191" t="s">
        <v>145</v>
      </c>
      <c r="G281" s="191" t="s">
        <v>0</v>
      </c>
      <c r="H281" s="191" t="s">
        <v>0</v>
      </c>
      <c r="I281" s="191" t="s">
        <v>145</v>
      </c>
      <c r="J281" s="191" t="s">
        <v>0</v>
      </c>
      <c r="K281" s="191" t="s">
        <v>0</v>
      </c>
      <c r="L281" s="191" t="s">
        <v>145</v>
      </c>
      <c r="M281" s="191" t="s">
        <v>0</v>
      </c>
      <c r="N281" s="191" t="s">
        <v>0</v>
      </c>
      <c r="O281" s="191" t="s">
        <v>145</v>
      </c>
      <c r="P281" s="191" t="s">
        <v>0</v>
      </c>
      <c r="Q281" s="191"/>
      <c r="R281" s="191"/>
      <c r="S281" s="187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</row>
    <row r="282" spans="1:52" ht="12.75" x14ac:dyDescent="0.2">
      <c r="A282" s="399"/>
      <c r="B282" s="188">
        <v>1</v>
      </c>
      <c r="C282" s="719" t="s">
        <v>420</v>
      </c>
      <c r="D282" s="719"/>
      <c r="E282" s="192">
        <v>1.1100000000000001</v>
      </c>
      <c r="F282" s="319">
        <f>SUM(Ilmanvaihtokoneet!G34)</f>
        <v>0</v>
      </c>
      <c r="G282" s="370">
        <f t="shared" ref="G282:G287" si="14">SUM(E282*F282)</f>
        <v>0</v>
      </c>
      <c r="H282" s="209">
        <v>1.41</v>
      </c>
      <c r="I282" s="319">
        <f>SUM(Ilmanvaihtokoneet!O34)</f>
        <v>0</v>
      </c>
      <c r="J282" s="370">
        <f t="shared" ref="J282:J287" si="15">SUM(H282*I282)</f>
        <v>0</v>
      </c>
      <c r="K282" s="210">
        <v>1.66</v>
      </c>
      <c r="L282" s="319">
        <f>SUM(Ilmanvaihtokoneet!G45)</f>
        <v>0</v>
      </c>
      <c r="M282" s="370">
        <f t="shared" ref="M282:M287" si="16">SUM(K282*L282)</f>
        <v>0</v>
      </c>
      <c r="N282" s="192">
        <v>1.66</v>
      </c>
      <c r="O282" s="319">
        <f>SUM(Ilmanvaihtokoneet!O45)</f>
        <v>0</v>
      </c>
      <c r="P282" s="370">
        <f t="shared" ref="P282:P287" si="17">SUM(N282*O282)</f>
        <v>0</v>
      </c>
      <c r="Q282" s="187"/>
      <c r="R282" s="187"/>
      <c r="S282" s="187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</row>
    <row r="283" spans="1:52" ht="12.75" x14ac:dyDescent="0.2">
      <c r="A283" s="399"/>
      <c r="B283" s="390">
        <v>2</v>
      </c>
      <c r="C283" s="719" t="s">
        <v>421</v>
      </c>
      <c r="D283" s="717"/>
      <c r="E283" s="192">
        <v>1.32</v>
      </c>
      <c r="F283" s="319">
        <f>SUM(Ilmanvaihtokoneet!G35)</f>
        <v>0</v>
      </c>
      <c r="G283" s="370">
        <f t="shared" si="14"/>
        <v>0</v>
      </c>
      <c r="H283" s="209">
        <v>1.69</v>
      </c>
      <c r="I283" s="319">
        <f>SUM(Ilmanvaihtokoneet!O35)</f>
        <v>0</v>
      </c>
      <c r="J283" s="370">
        <f t="shared" si="15"/>
        <v>0</v>
      </c>
      <c r="K283" s="192">
        <v>1.96</v>
      </c>
      <c r="L283" s="319">
        <f>SUM(Ilmanvaihtokoneet!G46)</f>
        <v>0</v>
      </c>
      <c r="M283" s="370">
        <f t="shared" si="16"/>
        <v>0</v>
      </c>
      <c r="N283" s="192">
        <v>1.96</v>
      </c>
      <c r="O283" s="319">
        <f>SUM(Ilmanvaihtokoneet!O46)</f>
        <v>0</v>
      </c>
      <c r="P283" s="370">
        <f t="shared" si="17"/>
        <v>0</v>
      </c>
      <c r="Q283" s="187"/>
      <c r="R283" s="187"/>
      <c r="S283" s="187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</row>
    <row r="284" spans="1:52" ht="12.75" x14ac:dyDescent="0.2">
      <c r="A284" s="399"/>
      <c r="B284" s="390">
        <v>3</v>
      </c>
      <c r="C284" s="719" t="s">
        <v>422</v>
      </c>
      <c r="D284" s="717"/>
      <c r="E284" s="208">
        <v>2.04</v>
      </c>
      <c r="F284" s="319">
        <f>SUM(Ilmanvaihtokoneet!G36)</f>
        <v>0</v>
      </c>
      <c r="G284" s="370">
        <f t="shared" si="14"/>
        <v>0</v>
      </c>
      <c r="H284" s="209">
        <v>2.69</v>
      </c>
      <c r="I284" s="319">
        <f>SUM(Ilmanvaihtokoneet!O36)</f>
        <v>0</v>
      </c>
      <c r="J284" s="370">
        <f t="shared" si="15"/>
        <v>0</v>
      </c>
      <c r="K284" s="192">
        <v>2.95</v>
      </c>
      <c r="L284" s="319">
        <f>SUM(Ilmanvaihtokoneet!G47)</f>
        <v>0</v>
      </c>
      <c r="M284" s="370">
        <f t="shared" si="16"/>
        <v>0</v>
      </c>
      <c r="N284" s="192">
        <v>2.95</v>
      </c>
      <c r="O284" s="319">
        <f>SUM(Ilmanvaihtokoneet!O47)</f>
        <v>0</v>
      </c>
      <c r="P284" s="370">
        <f t="shared" si="17"/>
        <v>0</v>
      </c>
      <c r="Q284" s="187"/>
      <c r="R284" s="187"/>
      <c r="S284" s="187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</row>
    <row r="285" spans="1:52" ht="12.75" x14ac:dyDescent="0.2">
      <c r="A285" s="399"/>
      <c r="B285" s="390">
        <v>4</v>
      </c>
      <c r="C285" s="719" t="s">
        <v>423</v>
      </c>
      <c r="D285" s="717"/>
      <c r="E285" s="208">
        <v>2.36</v>
      </c>
      <c r="F285" s="319">
        <f>SUM(Ilmanvaihtokoneet!G37)</f>
        <v>0</v>
      </c>
      <c r="G285" s="370">
        <f t="shared" si="14"/>
        <v>0</v>
      </c>
      <c r="H285" s="209">
        <v>3.06</v>
      </c>
      <c r="I285" s="319">
        <f>SUM(Ilmanvaihtokoneet!O37)</f>
        <v>0</v>
      </c>
      <c r="J285" s="370">
        <f t="shared" si="15"/>
        <v>0</v>
      </c>
      <c r="K285" s="192">
        <v>3.35</v>
      </c>
      <c r="L285" s="319">
        <f>SUM(Ilmanvaihtokoneet!G48)</f>
        <v>0</v>
      </c>
      <c r="M285" s="370">
        <f t="shared" si="16"/>
        <v>0</v>
      </c>
      <c r="N285" s="192">
        <v>3.35</v>
      </c>
      <c r="O285" s="319">
        <f>SUM(Ilmanvaihtokoneet!O48)</f>
        <v>0</v>
      </c>
      <c r="P285" s="370">
        <f t="shared" si="17"/>
        <v>0</v>
      </c>
      <c r="Q285" s="187"/>
      <c r="R285" s="187"/>
      <c r="S285" s="187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</row>
    <row r="286" spans="1:52" ht="12.75" x14ac:dyDescent="0.2">
      <c r="A286" s="399"/>
      <c r="B286" s="390">
        <v>5</v>
      </c>
      <c r="C286" s="719" t="s">
        <v>424</v>
      </c>
      <c r="D286" s="717"/>
      <c r="E286" s="192">
        <v>2.68</v>
      </c>
      <c r="F286" s="319">
        <f>SUM(Ilmanvaihtokoneet!G38)</f>
        <v>0</v>
      </c>
      <c r="G286" s="370">
        <f t="shared" si="14"/>
        <v>0</v>
      </c>
      <c r="H286" s="209">
        <v>3.49</v>
      </c>
      <c r="I286" s="319">
        <f>SUM(Ilmanvaihtokoneet!O38)</f>
        <v>0</v>
      </c>
      <c r="J286" s="370">
        <f t="shared" si="15"/>
        <v>0</v>
      </c>
      <c r="K286" s="192">
        <v>3.74</v>
      </c>
      <c r="L286" s="319">
        <f>SUM(Ilmanvaihtokoneet!G49)</f>
        <v>0</v>
      </c>
      <c r="M286" s="370">
        <f t="shared" si="16"/>
        <v>0</v>
      </c>
      <c r="N286" s="192">
        <v>3.74</v>
      </c>
      <c r="O286" s="319">
        <f>SUM(Ilmanvaihtokoneet!O49)</f>
        <v>0</v>
      </c>
      <c r="P286" s="370">
        <f t="shared" si="17"/>
        <v>0</v>
      </c>
      <c r="Q286" s="187"/>
      <c r="R286" s="187"/>
      <c r="S286" s="187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09"/>
      <c r="AY286" s="109"/>
      <c r="AZ286" s="109"/>
    </row>
    <row r="287" spans="1:52" ht="12.75" x14ac:dyDescent="0.2">
      <c r="A287" s="399"/>
      <c r="B287" s="389">
        <v>6</v>
      </c>
      <c r="C287" s="717" t="s">
        <v>129</v>
      </c>
      <c r="D287" s="717"/>
      <c r="E287" s="192">
        <v>3.01</v>
      </c>
      <c r="F287" s="319">
        <f>SUM(Ilmanvaihtokoneet!G39)</f>
        <v>0</v>
      </c>
      <c r="G287" s="370">
        <f t="shared" si="14"/>
        <v>0</v>
      </c>
      <c r="H287" s="209">
        <v>3.94</v>
      </c>
      <c r="I287" s="319">
        <f>SUM(Ilmanvaihtokoneet!O39)</f>
        <v>0</v>
      </c>
      <c r="J287" s="370">
        <f t="shared" si="15"/>
        <v>0</v>
      </c>
      <c r="K287" s="192">
        <v>4.1399999999999997</v>
      </c>
      <c r="L287" s="319">
        <f>SUM(Ilmanvaihtokoneet!G50)</f>
        <v>0</v>
      </c>
      <c r="M287" s="370">
        <f t="shared" si="16"/>
        <v>0</v>
      </c>
      <c r="N287" s="192">
        <v>4.1399999999999997</v>
      </c>
      <c r="O287" s="319">
        <f>SUM(Ilmanvaihtokoneet!O50)</f>
        <v>0</v>
      </c>
      <c r="P287" s="370">
        <f t="shared" si="17"/>
        <v>0</v>
      </c>
      <c r="Q287" s="187"/>
      <c r="R287" s="187"/>
      <c r="S287" s="187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</row>
    <row r="288" spans="1:52" ht="18" customHeight="1" thickBot="1" x14ac:dyDescent="0.25">
      <c r="A288" s="187"/>
      <c r="B288" s="187"/>
      <c r="C288" s="191"/>
      <c r="D288" s="191"/>
      <c r="E288" s="195"/>
      <c r="F288" s="195" t="s">
        <v>0</v>
      </c>
      <c r="G288" s="678">
        <f>SUM(G282:G287)</f>
        <v>0</v>
      </c>
      <c r="H288" s="207"/>
      <c r="I288" s="206" t="s">
        <v>0</v>
      </c>
      <c r="J288" s="678">
        <f>SUM(J282:J287)</f>
        <v>0</v>
      </c>
      <c r="K288" s="207"/>
      <c r="L288" s="206" t="s">
        <v>0</v>
      </c>
      <c r="M288" s="678">
        <f>SUM(M282:M287)</f>
        <v>0</v>
      </c>
      <c r="N288" s="207"/>
      <c r="O288" s="195" t="s">
        <v>0</v>
      </c>
      <c r="P288" s="678">
        <f>SUM(P282:P287)</f>
        <v>0</v>
      </c>
      <c r="Q288" s="187"/>
      <c r="R288" s="187"/>
      <c r="S288" s="187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09"/>
      <c r="AY288" s="109"/>
      <c r="AZ288" s="109"/>
    </row>
    <row r="289" spans="1:52" ht="12.75" x14ac:dyDescent="0.2">
      <c r="A289" s="187"/>
      <c r="B289" s="187"/>
      <c r="C289" s="187"/>
      <c r="D289" s="187"/>
      <c r="E289" s="187"/>
      <c r="F289" s="187"/>
      <c r="G289" s="187"/>
      <c r="H289" s="187"/>
      <c r="I289" s="187"/>
      <c r="J289" s="187"/>
      <c r="K289" s="187"/>
      <c r="L289" s="187"/>
      <c r="M289" s="187"/>
      <c r="N289" s="187"/>
      <c r="O289" s="187"/>
      <c r="P289" s="187"/>
      <c r="Q289" s="187"/>
      <c r="R289" s="187"/>
      <c r="S289" s="187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09"/>
      <c r="AY289" s="109"/>
      <c r="AZ289" s="109"/>
    </row>
    <row r="290" spans="1:52" ht="12.75" x14ac:dyDescent="0.2">
      <c r="A290" s="187"/>
      <c r="B290" s="187"/>
      <c r="C290" s="187"/>
      <c r="D290" s="187"/>
      <c r="E290" s="187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09"/>
      <c r="AY290" s="109"/>
      <c r="AZ290" s="109"/>
    </row>
    <row r="291" spans="1:52" ht="12.75" x14ac:dyDescent="0.2">
      <c r="A291" s="187"/>
      <c r="B291" s="187"/>
      <c r="C291" s="187"/>
      <c r="D291" s="187"/>
      <c r="E291" s="187"/>
      <c r="F291" s="187"/>
      <c r="G291" s="187"/>
      <c r="H291" s="187"/>
      <c r="I291" s="187"/>
      <c r="J291" s="187"/>
      <c r="K291" s="187"/>
      <c r="L291" s="187"/>
      <c r="M291" s="187"/>
      <c r="N291" s="187"/>
      <c r="O291" s="187"/>
      <c r="P291" s="187"/>
      <c r="Q291" s="187"/>
      <c r="R291" s="187"/>
      <c r="S291" s="187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</row>
    <row r="292" spans="1:52" ht="12.75" x14ac:dyDescent="0.2">
      <c r="A292" s="187"/>
      <c r="B292" s="187"/>
      <c r="C292" s="187"/>
      <c r="D292" s="187"/>
      <c r="E292" s="187"/>
      <c r="F292" s="187"/>
      <c r="G292" s="187"/>
      <c r="H292" s="187"/>
      <c r="I292" s="187"/>
      <c r="J292" s="187"/>
      <c r="K292" s="187"/>
      <c r="L292" s="187"/>
      <c r="M292" s="187"/>
      <c r="N292" s="187"/>
      <c r="O292" s="187"/>
      <c r="P292" s="187"/>
      <c r="Q292" s="187"/>
      <c r="R292" s="187"/>
      <c r="S292" s="187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09"/>
      <c r="AY292" s="109"/>
      <c r="AZ292" s="109"/>
    </row>
    <row r="293" spans="1:52" ht="12.75" x14ac:dyDescent="0.2">
      <c r="A293" s="187"/>
      <c r="B293" s="187"/>
      <c r="C293" s="187"/>
      <c r="D293" s="187"/>
      <c r="E293" s="187"/>
      <c r="F293" s="187"/>
      <c r="G293" s="187"/>
      <c r="H293" s="187"/>
      <c r="I293" s="187"/>
      <c r="J293" s="187"/>
      <c r="K293" s="187"/>
      <c r="L293" s="187"/>
      <c r="M293" s="187"/>
      <c r="N293" s="187"/>
      <c r="O293" s="187"/>
      <c r="P293" s="187"/>
      <c r="Q293" s="187"/>
      <c r="R293" s="187"/>
      <c r="S293" s="187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</row>
    <row r="294" spans="1:52" ht="12.75" x14ac:dyDescent="0.2">
      <c r="A294" s="187"/>
      <c r="B294" s="187"/>
      <c r="C294" s="187"/>
      <c r="D294" s="187"/>
      <c r="E294" s="187"/>
      <c r="F294" s="187"/>
      <c r="G294" s="187"/>
      <c r="H294" s="187"/>
      <c r="I294" s="187"/>
      <c r="J294" s="187"/>
      <c r="K294" s="187"/>
      <c r="L294" s="187"/>
      <c r="M294" s="187"/>
      <c r="N294" s="187"/>
      <c r="O294" s="187"/>
      <c r="P294" s="187"/>
      <c r="Q294" s="187"/>
      <c r="R294" s="187"/>
      <c r="S294" s="187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09"/>
      <c r="AY294" s="109"/>
      <c r="AZ294" s="109"/>
    </row>
    <row r="295" spans="1:52" ht="12.75" x14ac:dyDescent="0.2">
      <c r="A295" s="187"/>
      <c r="B295" s="187"/>
      <c r="C295" s="187"/>
      <c r="D295" s="187"/>
      <c r="E295" s="187"/>
      <c r="F295" s="187"/>
      <c r="G295" s="187"/>
      <c r="H295" s="187"/>
      <c r="I295" s="187"/>
      <c r="J295" s="187"/>
      <c r="K295" s="187"/>
      <c r="L295" s="187"/>
      <c r="M295" s="187"/>
      <c r="N295" s="187"/>
      <c r="O295" s="187"/>
      <c r="P295" s="187"/>
      <c r="Q295" s="187"/>
      <c r="R295" s="187"/>
      <c r="S295" s="187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09"/>
      <c r="AY295" s="109"/>
      <c r="AZ295" s="109"/>
    </row>
    <row r="296" spans="1:52" ht="20.25" customHeight="1" thickBot="1" x14ac:dyDescent="0.25">
      <c r="A296" s="187"/>
      <c r="B296" s="187"/>
      <c r="C296" s="187"/>
      <c r="D296" s="187"/>
      <c r="E296" s="187"/>
      <c r="F296" s="187"/>
      <c r="G296" s="187"/>
      <c r="H296" s="187"/>
      <c r="I296" s="187"/>
      <c r="J296" s="187"/>
      <c r="K296" s="187"/>
      <c r="L296" s="187"/>
      <c r="M296" s="187"/>
      <c r="N296" s="187"/>
      <c r="O296" s="187"/>
      <c r="P296" s="203" t="s">
        <v>207</v>
      </c>
      <c r="Q296" s="203" t="s">
        <v>0</v>
      </c>
      <c r="R296" s="670">
        <f>SUM(G275+J275+G288+J288+M288+P288)</f>
        <v>0</v>
      </c>
      <c r="S296" s="187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  <c r="AW296" s="109"/>
      <c r="AX296" s="109"/>
      <c r="AY296" s="109"/>
      <c r="AZ296" s="109"/>
    </row>
    <row r="297" spans="1:52" ht="6.95" customHeight="1" x14ac:dyDescent="0.2">
      <c r="A297" s="187"/>
      <c r="B297" s="187"/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87"/>
      <c r="P297" s="187"/>
      <c r="Q297" s="187"/>
      <c r="R297" s="187"/>
      <c r="S297" s="187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</row>
    <row r="298" spans="1:52" ht="6.95" customHeight="1" x14ac:dyDescent="0.2">
      <c r="A298" s="187"/>
      <c r="B298" s="191"/>
      <c r="C298" s="200"/>
      <c r="D298" s="187"/>
      <c r="E298" s="200"/>
      <c r="F298" s="187"/>
      <c r="G298" s="187"/>
      <c r="H298" s="187"/>
      <c r="I298" s="187"/>
      <c r="J298" s="187"/>
      <c r="K298" s="187"/>
      <c r="L298" s="187"/>
      <c r="M298" s="187"/>
      <c r="N298" s="187"/>
      <c r="O298" s="187"/>
      <c r="P298" s="187"/>
      <c r="Q298" s="187"/>
      <c r="R298" s="187"/>
      <c r="S298" s="187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  <c r="AW298" s="109"/>
      <c r="AX298" s="109"/>
      <c r="AY298" s="109"/>
      <c r="AZ298" s="109"/>
    </row>
    <row r="299" spans="1:52" ht="6.95" customHeight="1" x14ac:dyDescent="0.2">
      <c r="A299" s="187"/>
      <c r="B299" s="191"/>
      <c r="C299" s="200"/>
      <c r="D299" s="187"/>
      <c r="E299" s="200"/>
      <c r="F299" s="187"/>
      <c r="G299" s="187"/>
      <c r="H299" s="187"/>
      <c r="I299" s="187"/>
      <c r="J299" s="187"/>
      <c r="K299" s="187"/>
      <c r="L299" s="187"/>
      <c r="M299" s="187"/>
      <c r="N299" s="187"/>
      <c r="O299" s="187"/>
      <c r="P299" s="187"/>
      <c r="Q299" s="187"/>
      <c r="R299" s="187"/>
      <c r="S299" s="187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</row>
    <row r="300" spans="1:52" ht="6.95" customHeight="1" x14ac:dyDescent="0.2">
      <c r="C300" s="46"/>
      <c r="D300" s="5"/>
      <c r="E300" s="46"/>
      <c r="F300" s="5"/>
      <c r="G300" s="5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  <c r="AW300" s="109"/>
      <c r="AX300" s="109"/>
      <c r="AY300" s="109"/>
      <c r="AZ300" s="109"/>
    </row>
    <row r="301" spans="1:52" ht="6.95" customHeight="1" x14ac:dyDescent="0.2">
      <c r="C301" s="46"/>
      <c r="D301" s="5"/>
      <c r="E301" s="46"/>
      <c r="F301" s="5"/>
      <c r="G301" s="5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  <c r="AW301" s="109"/>
      <c r="AX301" s="109"/>
      <c r="AY301" s="109"/>
      <c r="AZ301" s="109"/>
    </row>
    <row r="302" spans="1:52" ht="15.75" x14ac:dyDescent="0.25">
      <c r="B302" s="35" t="s">
        <v>504</v>
      </c>
      <c r="C302" s="35"/>
      <c r="D302" s="5"/>
      <c r="E302" s="36"/>
      <c r="F302" s="5"/>
      <c r="G302" s="5"/>
      <c r="J302" s="325" t="s">
        <v>221</v>
      </c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  <c r="AW302" s="109"/>
      <c r="AX302" s="109"/>
      <c r="AY302" s="109"/>
      <c r="AZ302" s="109"/>
    </row>
    <row r="303" spans="1:52" ht="15.75" x14ac:dyDescent="0.25">
      <c r="B303" s="35"/>
      <c r="C303" s="35"/>
      <c r="D303" s="5"/>
      <c r="E303" s="36"/>
      <c r="F303" s="5"/>
      <c r="G303" s="5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  <c r="AW303" s="109"/>
      <c r="AX303" s="109"/>
      <c r="AY303" s="109"/>
      <c r="AZ303" s="109"/>
    </row>
    <row r="304" spans="1:52" ht="12.75" x14ac:dyDescent="0.2">
      <c r="B304" s="17"/>
      <c r="C304" s="5"/>
      <c r="D304" s="5"/>
      <c r="E304" s="5"/>
      <c r="F304" s="5"/>
      <c r="G304" s="5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</row>
    <row r="305" spans="1:52" ht="12.75" x14ac:dyDescent="0.2">
      <c r="A305" s="41"/>
      <c r="B305" s="9" t="s">
        <v>63</v>
      </c>
      <c r="C305" s="19"/>
      <c r="D305" s="17"/>
      <c r="E305" s="17"/>
      <c r="F305" s="17"/>
      <c r="G305" s="12"/>
      <c r="H305" s="13" t="s">
        <v>50</v>
      </c>
      <c r="I305" s="13" t="s">
        <v>145</v>
      </c>
      <c r="J305" s="13" t="s">
        <v>0</v>
      </c>
      <c r="L305" s="59" t="s">
        <v>67</v>
      </c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</row>
    <row r="306" spans="1:52" ht="12.75" x14ac:dyDescent="0.2">
      <c r="A306" s="41"/>
      <c r="B306" s="2" t="s">
        <v>44</v>
      </c>
      <c r="C306" s="2"/>
      <c r="D306" s="2"/>
      <c r="E306" s="2"/>
      <c r="F306" s="2"/>
      <c r="G306" s="11"/>
      <c r="H306" s="13">
        <v>2.2799999999999998</v>
      </c>
      <c r="I306" s="178">
        <f>SUM(Pienkojeet!Q6)</f>
        <v>0</v>
      </c>
      <c r="J306" s="97">
        <f>SUM(I306*2.28)</f>
        <v>0</v>
      </c>
      <c r="M306" s="59" t="s">
        <v>442</v>
      </c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</row>
    <row r="307" spans="1:52" ht="12.75" x14ac:dyDescent="0.2">
      <c r="A307" s="41"/>
      <c r="B307" s="38" t="s">
        <v>13</v>
      </c>
      <c r="C307" s="38"/>
      <c r="D307" s="38"/>
      <c r="E307" s="38"/>
      <c r="F307" s="38"/>
      <c r="G307" s="9"/>
      <c r="H307" s="39">
        <v>3.7</v>
      </c>
      <c r="I307" s="178">
        <f>SUM(Pienkojeet!Q7)</f>
        <v>0</v>
      </c>
      <c r="J307" s="97">
        <f>SUM(I307*3.7)</f>
        <v>0</v>
      </c>
      <c r="M307" s="80" t="s">
        <v>443</v>
      </c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</row>
    <row r="308" spans="1:52" ht="12.75" x14ac:dyDescent="0.2">
      <c r="A308" s="41"/>
      <c r="B308" s="5" t="s">
        <v>39</v>
      </c>
      <c r="C308" s="5"/>
      <c r="D308" s="5"/>
      <c r="E308" s="5"/>
      <c r="F308" s="5"/>
      <c r="G308" s="41"/>
      <c r="H308" s="39">
        <v>3.4</v>
      </c>
      <c r="I308" s="178">
        <f>SUM(Pienkojeet!Q8)</f>
        <v>0</v>
      </c>
      <c r="J308" s="97">
        <f>SUM(I308*3.4)</f>
        <v>0</v>
      </c>
      <c r="M308" s="18"/>
      <c r="N308" s="384" t="s">
        <v>49</v>
      </c>
      <c r="O308" s="355" t="s">
        <v>12</v>
      </c>
      <c r="P308" s="355" t="s">
        <v>145</v>
      </c>
      <c r="Q308" s="355" t="s">
        <v>0</v>
      </c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</row>
    <row r="309" spans="1:52" ht="12.75" x14ac:dyDescent="0.2">
      <c r="A309" s="41"/>
      <c r="B309" s="444" t="s">
        <v>441</v>
      </c>
      <c r="C309" s="38"/>
      <c r="D309" s="38"/>
      <c r="E309" s="38"/>
      <c r="F309" s="38"/>
      <c r="G309" s="9"/>
      <c r="H309" s="39">
        <v>5</v>
      </c>
      <c r="I309" s="178">
        <f>SUM(Pienkojeet!Q9)</f>
        <v>0</v>
      </c>
      <c r="J309" s="97">
        <f>SUM(I309*5)</f>
        <v>0</v>
      </c>
      <c r="M309" s="355" t="s">
        <v>5</v>
      </c>
      <c r="N309" s="385" t="s">
        <v>390</v>
      </c>
      <c r="O309" s="13">
        <v>6</v>
      </c>
      <c r="P309" s="386">
        <f>SUM(Pienkojeet!Q92)</f>
        <v>0</v>
      </c>
      <c r="Q309" s="13">
        <f>SUM(O309*P309)</f>
        <v>0</v>
      </c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</row>
    <row r="310" spans="1:52" ht="12.75" x14ac:dyDescent="0.2">
      <c r="A310" s="41"/>
      <c r="B310" s="17" t="s">
        <v>74</v>
      </c>
      <c r="C310" s="17"/>
      <c r="D310" s="17"/>
      <c r="E310" s="17"/>
      <c r="F310" s="17"/>
      <c r="G310" s="12"/>
      <c r="H310" s="39">
        <v>1.99</v>
      </c>
      <c r="I310" s="178">
        <f>SUM(Pienkojeet!Q10)</f>
        <v>0</v>
      </c>
      <c r="J310" s="97">
        <f>SUM(I310*1.99)</f>
        <v>0</v>
      </c>
      <c r="M310" s="355" t="s">
        <v>6</v>
      </c>
      <c r="N310" s="385" t="s">
        <v>391</v>
      </c>
      <c r="O310" s="13">
        <v>8</v>
      </c>
      <c r="P310" s="386">
        <f>SUM(Pienkojeet!Q93)</f>
        <v>0</v>
      </c>
      <c r="Q310" s="13">
        <f>SUM(O310*P310)</f>
        <v>0</v>
      </c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</row>
    <row r="311" spans="1:52" ht="12.75" x14ac:dyDescent="0.2">
      <c r="A311" s="41"/>
      <c r="B311" s="5" t="s">
        <v>62</v>
      </c>
      <c r="C311" s="37"/>
      <c r="D311" s="2"/>
      <c r="E311" s="2"/>
      <c r="F311" s="42"/>
      <c r="G311" s="11"/>
      <c r="H311" s="23">
        <v>1.92</v>
      </c>
      <c r="I311" s="178">
        <f>SUM(Pienkojeet!Q11)</f>
        <v>0</v>
      </c>
      <c r="J311" s="97">
        <f>SUM(I311*1.92)</f>
        <v>0</v>
      </c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  <c r="AV311" s="109"/>
      <c r="AW311" s="109"/>
      <c r="AX311" s="109"/>
      <c r="AY311" s="109"/>
      <c r="AZ311" s="109"/>
    </row>
    <row r="312" spans="1:52" ht="13.5" thickBot="1" x14ac:dyDescent="0.25">
      <c r="A312" s="41"/>
      <c r="B312" s="18" t="s">
        <v>41</v>
      </c>
      <c r="C312" s="38"/>
      <c r="D312" s="724" t="s">
        <v>393</v>
      </c>
      <c r="E312" s="724"/>
      <c r="F312" s="720"/>
      <c r="G312" s="721"/>
      <c r="H312" s="44">
        <v>0.48</v>
      </c>
      <c r="I312" s="178">
        <f>SUM(Pienkojeet!Q12)</f>
        <v>0</v>
      </c>
      <c r="J312" s="97">
        <f>SUM(I312*0.48)</f>
        <v>0</v>
      </c>
      <c r="P312" s="89" t="s">
        <v>0</v>
      </c>
      <c r="Q312" s="674">
        <f>SUM(Q309:Q310)</f>
        <v>0</v>
      </c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</row>
    <row r="313" spans="1:52" ht="12.75" x14ac:dyDescent="0.2">
      <c r="A313" s="41"/>
      <c r="B313" s="18" t="s">
        <v>41</v>
      </c>
      <c r="C313" s="38"/>
      <c r="D313" s="724" t="s">
        <v>394</v>
      </c>
      <c r="E313" s="724"/>
      <c r="F313" s="720"/>
      <c r="G313" s="721"/>
      <c r="H313" s="33">
        <v>0.64</v>
      </c>
      <c r="I313" s="178">
        <f>SUM(Pienkojeet!Q13)</f>
        <v>0</v>
      </c>
      <c r="J313" s="97">
        <f>SUM(I313*0.64)</f>
        <v>0</v>
      </c>
      <c r="O313" s="726" t="s">
        <v>402</v>
      </c>
      <c r="P313" s="726"/>
      <c r="Q313" s="726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  <c r="AV313" s="109"/>
      <c r="AW313" s="109"/>
      <c r="AX313" s="109"/>
      <c r="AY313" s="109"/>
      <c r="AZ313" s="109"/>
    </row>
    <row r="314" spans="1:52" ht="12.75" x14ac:dyDescent="0.2">
      <c r="A314" s="41"/>
      <c r="B314" s="411" t="s">
        <v>396</v>
      </c>
      <c r="C314" s="38"/>
      <c r="D314" s="400"/>
      <c r="E314" s="400"/>
      <c r="F314" s="43"/>
      <c r="G314" s="44"/>
      <c r="H314" s="39">
        <v>1.75</v>
      </c>
      <c r="I314" s="178">
        <f>SUM(Pienkojeet!Q14)</f>
        <v>0</v>
      </c>
      <c r="J314" s="97">
        <f>SUM(I314*1.75)</f>
        <v>0</v>
      </c>
      <c r="O314" s="727"/>
      <c r="P314" s="727"/>
      <c r="Q314" s="727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  <c r="AV314" s="109"/>
      <c r="AW314" s="109"/>
      <c r="AX314" s="109"/>
      <c r="AY314" s="109"/>
      <c r="AZ314" s="109"/>
    </row>
    <row r="315" spans="1:52" ht="12.75" x14ac:dyDescent="0.2">
      <c r="B315" s="412" t="s">
        <v>397</v>
      </c>
      <c r="C315" s="17"/>
      <c r="D315" s="410"/>
      <c r="E315" s="410"/>
      <c r="F315" s="45"/>
      <c r="G315" s="33"/>
      <c r="H315" s="39">
        <v>2.5</v>
      </c>
      <c r="I315" s="178">
        <f>SUM(Pienkojeet!Q15)</f>
        <v>0</v>
      </c>
      <c r="J315" s="97">
        <f>SUM(I315*2.5)</f>
        <v>0</v>
      </c>
      <c r="O315" s="355" t="s">
        <v>0</v>
      </c>
      <c r="P315" s="355" t="s">
        <v>145</v>
      </c>
      <c r="Q315" s="355" t="s">
        <v>0</v>
      </c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  <c r="AV315" s="109"/>
      <c r="AW315" s="109"/>
      <c r="AX315" s="109"/>
      <c r="AY315" s="109"/>
      <c r="AZ315" s="109"/>
    </row>
    <row r="316" spans="1:52" ht="15.75" customHeight="1" x14ac:dyDescent="0.45">
      <c r="K316" s="59"/>
      <c r="O316" s="443">
        <v>0.25</v>
      </c>
      <c r="P316" s="682">
        <f>SUM(Pienkojeet!Q99)</f>
        <v>0</v>
      </c>
      <c r="Q316" s="683">
        <f>SUM(P316*0.25)</f>
        <v>0</v>
      </c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  <c r="AW316" s="109"/>
      <c r="AX316" s="109"/>
      <c r="AY316" s="109"/>
      <c r="AZ316" s="109"/>
    </row>
    <row r="317" spans="1:52" ht="12.75" x14ac:dyDescent="0.2">
      <c r="B317" s="5"/>
      <c r="C317" s="5"/>
      <c r="D317" s="5"/>
      <c r="E317" s="5"/>
      <c r="F317" s="5"/>
      <c r="G317" s="5"/>
      <c r="I317" s="171"/>
      <c r="J317" s="168"/>
      <c r="O317" s="8"/>
      <c r="Q317" s="2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</row>
    <row r="318" spans="1:52" ht="13.5" thickBot="1" x14ac:dyDescent="0.25">
      <c r="B318" s="5" t="s">
        <v>47</v>
      </c>
      <c r="C318" s="5"/>
      <c r="D318" s="5"/>
      <c r="E318" s="5"/>
      <c r="F318" s="5"/>
      <c r="G318" s="5"/>
      <c r="H318" s="15"/>
      <c r="I318" s="170" t="s">
        <v>0</v>
      </c>
      <c r="J318" s="674">
        <f>SUM(J306:J315)</f>
        <v>0</v>
      </c>
      <c r="P318" s="416" t="s">
        <v>0</v>
      </c>
      <c r="Q318" s="673">
        <f>SUM(Q316)</f>
        <v>0</v>
      </c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  <c r="AW318" s="109"/>
      <c r="AX318" s="109"/>
      <c r="AY318" s="109"/>
      <c r="AZ318" s="109"/>
    </row>
    <row r="319" spans="1:52" ht="7.5" customHeight="1" x14ac:dyDescent="0.2">
      <c r="B319" s="5"/>
      <c r="C319" s="5"/>
      <c r="D319" s="5"/>
      <c r="E319" s="5"/>
      <c r="F319" s="5"/>
      <c r="G319" s="5"/>
      <c r="J319" s="80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</row>
    <row r="320" spans="1:52" ht="8.25" customHeight="1" x14ac:dyDescent="0.2">
      <c r="B320" s="5"/>
      <c r="C320" s="5"/>
      <c r="D320" s="5"/>
      <c r="E320" s="5"/>
      <c r="F320" s="5"/>
      <c r="G320" s="5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  <c r="AW320" s="109"/>
      <c r="AX320" s="109"/>
      <c r="AY320" s="109"/>
      <c r="AZ320" s="109"/>
    </row>
    <row r="321" spans="1:52" ht="12.75" x14ac:dyDescent="0.2">
      <c r="B321" s="5"/>
      <c r="C321" s="59"/>
      <c r="D321" s="59"/>
      <c r="E321" s="59"/>
      <c r="F321" s="5"/>
      <c r="G321" s="5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  <c r="AW321" s="109"/>
      <c r="AX321" s="109"/>
      <c r="AY321" s="109"/>
      <c r="AZ321" s="109"/>
    </row>
    <row r="322" spans="1:52" ht="13.5" thickBot="1" x14ac:dyDescent="0.25">
      <c r="B322" s="59" t="s">
        <v>478</v>
      </c>
      <c r="C322" s="59"/>
      <c r="D322" s="59"/>
      <c r="E322" s="59"/>
      <c r="F322" s="5"/>
      <c r="G322" s="5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</row>
    <row r="323" spans="1:52" ht="12.75" x14ac:dyDescent="0.2">
      <c r="B323" s="59" t="s">
        <v>512</v>
      </c>
      <c r="C323" s="59"/>
      <c r="D323" s="59"/>
      <c r="E323" s="59"/>
      <c r="F323" s="5"/>
      <c r="G323" s="5"/>
      <c r="L323" s="728" t="s">
        <v>469</v>
      </c>
      <c r="M323" s="729"/>
      <c r="N323" s="729"/>
      <c r="O323" s="729"/>
      <c r="P323" s="729"/>
      <c r="Q323" s="729"/>
      <c r="R323" s="730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  <c r="AW323" s="109"/>
      <c r="AX323" s="109"/>
      <c r="AY323" s="109"/>
      <c r="AZ323" s="109"/>
    </row>
    <row r="324" spans="1:52" ht="12.75" customHeight="1" x14ac:dyDescent="0.2">
      <c r="B324" s="80" t="s">
        <v>475</v>
      </c>
      <c r="C324" s="5"/>
      <c r="D324" s="5"/>
      <c r="E324" s="5"/>
      <c r="F324" s="5"/>
      <c r="G324" s="5"/>
      <c r="L324" s="30"/>
      <c r="M324" s="688" t="s">
        <v>471</v>
      </c>
      <c r="N324" s="688"/>
      <c r="O324" s="688"/>
      <c r="P324" s="689" t="s">
        <v>470</v>
      </c>
      <c r="Q324" s="689"/>
      <c r="R324" s="690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  <c r="AW324" s="109"/>
      <c r="AX324" s="109"/>
      <c r="AY324" s="109"/>
      <c r="AZ324" s="109"/>
    </row>
    <row r="325" spans="1:52" ht="12.75" customHeight="1" x14ac:dyDescent="0.2">
      <c r="B325" s="80" t="s">
        <v>476</v>
      </c>
      <c r="C325" s="5"/>
      <c r="D325" s="5"/>
      <c r="E325" s="5"/>
      <c r="F325" s="5"/>
      <c r="G325" s="5"/>
      <c r="L325" s="30"/>
      <c r="M325" s="688"/>
      <c r="N325" s="688"/>
      <c r="O325" s="688"/>
      <c r="P325" s="689"/>
      <c r="Q325" s="689"/>
      <c r="R325" s="690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  <c r="AW325" s="109"/>
      <c r="AX325" s="109"/>
      <c r="AY325" s="109"/>
      <c r="AZ325" s="109"/>
    </row>
    <row r="326" spans="1:52" ht="12" customHeight="1" thickBot="1" x14ac:dyDescent="0.25">
      <c r="B326" s="5"/>
      <c r="C326" s="5"/>
      <c r="D326" s="5"/>
      <c r="E326" s="5"/>
      <c r="F326" s="5"/>
      <c r="G326" s="5"/>
      <c r="L326" s="578" t="s">
        <v>400</v>
      </c>
      <c r="M326" s="14" t="s">
        <v>12</v>
      </c>
      <c r="N326" s="13" t="s">
        <v>145</v>
      </c>
      <c r="O326" s="13" t="s">
        <v>0</v>
      </c>
      <c r="P326" s="14" t="s">
        <v>12</v>
      </c>
      <c r="Q326" s="13" t="s">
        <v>145</v>
      </c>
      <c r="R326" s="579" t="s">
        <v>0</v>
      </c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  <c r="AW326" s="109"/>
      <c r="AX326" s="109"/>
      <c r="AY326" s="109"/>
      <c r="AZ326" s="109"/>
    </row>
    <row r="327" spans="1:52" ht="14.25" customHeight="1" x14ac:dyDescent="0.2">
      <c r="A327" s="731" t="s">
        <v>481</v>
      </c>
      <c r="B327" s="732"/>
      <c r="C327" s="732"/>
      <c r="D327" s="732"/>
      <c r="E327" s="732"/>
      <c r="F327" s="732"/>
      <c r="G327" s="733"/>
      <c r="H327" s="722" t="s">
        <v>398</v>
      </c>
      <c r="I327" s="723"/>
      <c r="J327" s="723"/>
      <c r="K327" s="723"/>
      <c r="L327" s="580">
        <v>-1500</v>
      </c>
      <c r="M327" s="22">
        <v>1.24</v>
      </c>
      <c r="N327" s="178">
        <f>SUM(Pienkojeet!Q60)</f>
        <v>0</v>
      </c>
      <c r="O327" s="97">
        <f>SUM(N327*M327)</f>
        <v>0</v>
      </c>
      <c r="P327" s="22">
        <v>1.35</v>
      </c>
      <c r="Q327" s="178">
        <f>SUM(Pienkojeet!O76)</f>
        <v>0</v>
      </c>
      <c r="R327" s="581">
        <f>SUM(Q327*P327)</f>
        <v>0</v>
      </c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  <c r="AW327" s="109"/>
      <c r="AX327" s="109"/>
      <c r="AY327" s="109"/>
      <c r="AZ327" s="109"/>
    </row>
    <row r="328" spans="1:52" ht="12.75" x14ac:dyDescent="0.2">
      <c r="A328" s="707" t="s">
        <v>49</v>
      </c>
      <c r="B328" s="704">
        <v>1</v>
      </c>
      <c r="C328" s="705"/>
      <c r="D328" s="709"/>
      <c r="E328" s="704">
        <v>2</v>
      </c>
      <c r="F328" s="705"/>
      <c r="G328" s="706"/>
      <c r="H328" s="577" t="s">
        <v>400</v>
      </c>
      <c r="I328" s="14" t="s">
        <v>12</v>
      </c>
      <c r="J328" s="13" t="s">
        <v>145</v>
      </c>
      <c r="K328" s="56" t="s">
        <v>0</v>
      </c>
      <c r="L328" s="580">
        <v>-2000</v>
      </c>
      <c r="M328" s="22">
        <v>1.58</v>
      </c>
      <c r="N328" s="178">
        <f>SUM(Pienkojeet!Q61)</f>
        <v>0</v>
      </c>
      <c r="O328" s="97">
        <f t="shared" ref="O328:O336" si="18">SUM(N328*M328)</f>
        <v>0</v>
      </c>
      <c r="P328" s="22">
        <v>1.72</v>
      </c>
      <c r="Q328" s="178">
        <f>SUM(Pienkojeet!O77)</f>
        <v>0</v>
      </c>
      <c r="R328" s="581">
        <f t="shared" ref="R328:R336" si="19">SUM(Q328*P328)</f>
        <v>0</v>
      </c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AY328" s="109"/>
      <c r="AZ328" s="109"/>
    </row>
    <row r="329" spans="1:52" ht="12.75" x14ac:dyDescent="0.2">
      <c r="A329" s="708"/>
      <c r="B329" s="14" t="s">
        <v>12</v>
      </c>
      <c r="C329" s="13" t="s">
        <v>145</v>
      </c>
      <c r="D329" s="13" t="s">
        <v>0</v>
      </c>
      <c r="E329" s="14" t="s">
        <v>12</v>
      </c>
      <c r="F329" s="13" t="s">
        <v>145</v>
      </c>
      <c r="G329" s="579" t="s">
        <v>0</v>
      </c>
      <c r="H329" s="57">
        <v>-1500</v>
      </c>
      <c r="I329" s="22">
        <v>1.5</v>
      </c>
      <c r="J329" s="178">
        <f>SUM(Pienkojeet!Q46)</f>
        <v>0</v>
      </c>
      <c r="K329" s="586">
        <f>SUM(J329*1.5)</f>
        <v>0</v>
      </c>
      <c r="L329" s="580">
        <v>-2500</v>
      </c>
      <c r="M329" s="22">
        <v>1.83</v>
      </c>
      <c r="N329" s="178">
        <f>SUM(Pienkojeet!Q62)</f>
        <v>0</v>
      </c>
      <c r="O329" s="97">
        <f t="shared" si="18"/>
        <v>0</v>
      </c>
      <c r="P329" s="22">
        <v>1.98</v>
      </c>
      <c r="Q329" s="178">
        <f>SUM(Pienkojeet!O78)</f>
        <v>0</v>
      </c>
      <c r="R329" s="581">
        <f t="shared" si="19"/>
        <v>0</v>
      </c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</row>
    <row r="330" spans="1:52" ht="12.75" x14ac:dyDescent="0.2">
      <c r="A330" s="580">
        <v>-15</v>
      </c>
      <c r="B330" s="22">
        <v>1.04</v>
      </c>
      <c r="C330" s="178">
        <f>SUM(Pienkojeet!Q22)</f>
        <v>0</v>
      </c>
      <c r="D330" s="97">
        <f>SUM(B330*C330)</f>
        <v>0</v>
      </c>
      <c r="E330" s="22">
        <v>1.28</v>
      </c>
      <c r="F330" s="178">
        <f>SUM(Pienkojeet!Q34)</f>
        <v>0</v>
      </c>
      <c r="G330" s="581">
        <f>SUM(E330*F330)</f>
        <v>0</v>
      </c>
      <c r="H330" s="57">
        <v>-200</v>
      </c>
      <c r="I330" s="22">
        <v>1.9</v>
      </c>
      <c r="J330" s="178">
        <f>SUM(Pienkojeet!Q47)</f>
        <v>0</v>
      </c>
      <c r="K330" s="586">
        <f>SUM(J330*1.9)</f>
        <v>0</v>
      </c>
      <c r="L330" s="580">
        <v>-3000</v>
      </c>
      <c r="M330" s="22">
        <v>2.08</v>
      </c>
      <c r="N330" s="178">
        <f>SUM(Pienkojeet!Q63)</f>
        <v>0</v>
      </c>
      <c r="O330" s="97">
        <f t="shared" si="18"/>
        <v>0</v>
      </c>
      <c r="P330" s="22">
        <v>2.25</v>
      </c>
      <c r="Q330" s="178">
        <f>SUM(Pienkojeet!O79)</f>
        <v>0</v>
      </c>
      <c r="R330" s="581">
        <f t="shared" si="19"/>
        <v>0</v>
      </c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</row>
    <row r="331" spans="1:52" ht="12.75" x14ac:dyDescent="0.2">
      <c r="A331" s="580">
        <v>-35</v>
      </c>
      <c r="B331" s="22">
        <v>1.1599999999999999</v>
      </c>
      <c r="C331" s="178">
        <f>SUM(Pienkojeet!Q23)</f>
        <v>0</v>
      </c>
      <c r="D331" s="97">
        <f t="shared" ref="D331:D335" si="20">SUM(B331*C331)</f>
        <v>0</v>
      </c>
      <c r="E331" s="22">
        <v>1.39</v>
      </c>
      <c r="F331" s="178">
        <f>SUM(Pienkojeet!Q35)</f>
        <v>0</v>
      </c>
      <c r="G331" s="581">
        <f t="shared" ref="G331:G335" si="21">SUM(E331*F331)</f>
        <v>0</v>
      </c>
      <c r="H331" s="57">
        <v>-2500</v>
      </c>
      <c r="I331" s="22">
        <v>2.2000000000000002</v>
      </c>
      <c r="J331" s="178">
        <f>SUM(Pienkojeet!Q48)</f>
        <v>0</v>
      </c>
      <c r="K331" s="586">
        <f>SUM(J331*2.2)</f>
        <v>0</v>
      </c>
      <c r="L331" s="580">
        <v>-3500</v>
      </c>
      <c r="M331" s="22">
        <v>2.3199999999999998</v>
      </c>
      <c r="N331" s="178">
        <f>SUM(Pienkojeet!Q64)</f>
        <v>0</v>
      </c>
      <c r="O331" s="97">
        <f t="shared" si="18"/>
        <v>0</v>
      </c>
      <c r="P331" s="22">
        <v>2.52</v>
      </c>
      <c r="Q331" s="178">
        <f>SUM(Pienkojeet!O80)</f>
        <v>0</v>
      </c>
      <c r="R331" s="581">
        <f t="shared" si="19"/>
        <v>0</v>
      </c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</row>
    <row r="332" spans="1:52" ht="12.75" x14ac:dyDescent="0.2">
      <c r="A332" s="580">
        <v>-60</v>
      </c>
      <c r="B332" s="22">
        <v>1.74</v>
      </c>
      <c r="C332" s="178">
        <f>SUM(Pienkojeet!Q24)</f>
        <v>0</v>
      </c>
      <c r="D332" s="97">
        <f t="shared" si="20"/>
        <v>0</v>
      </c>
      <c r="E332" s="22">
        <v>1.97</v>
      </c>
      <c r="F332" s="178">
        <f>SUM(Pienkojeet!Q36)</f>
        <v>0</v>
      </c>
      <c r="G332" s="581">
        <f t="shared" si="21"/>
        <v>0</v>
      </c>
      <c r="H332" s="57">
        <v>-3000</v>
      </c>
      <c r="I332" s="22">
        <v>2.5</v>
      </c>
      <c r="J332" s="178">
        <f>SUM(Pienkojeet!Q49)</f>
        <v>0</v>
      </c>
      <c r="K332" s="586">
        <f>SUM(J332*2.5)</f>
        <v>0</v>
      </c>
      <c r="L332" s="580">
        <v>-4000</v>
      </c>
      <c r="M332" s="22">
        <v>2.65</v>
      </c>
      <c r="N332" s="178">
        <f>SUM(Pienkojeet!Q65)</f>
        <v>0</v>
      </c>
      <c r="O332" s="97">
        <f t="shared" si="18"/>
        <v>0</v>
      </c>
      <c r="P332" s="22">
        <v>2.88</v>
      </c>
      <c r="Q332" s="178">
        <f>SUM(Pienkojeet!O81)</f>
        <v>0</v>
      </c>
      <c r="R332" s="581">
        <f t="shared" si="19"/>
        <v>0</v>
      </c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</row>
    <row r="333" spans="1:52" ht="13.5" customHeight="1" x14ac:dyDescent="0.2">
      <c r="A333" s="580">
        <v>-100</v>
      </c>
      <c r="B333" s="22">
        <v>2.3199999999999998</v>
      </c>
      <c r="C333" s="178">
        <f>SUM(Pienkojeet!Q25)</f>
        <v>0</v>
      </c>
      <c r="D333" s="97">
        <f t="shared" si="20"/>
        <v>0</v>
      </c>
      <c r="E333" s="22">
        <v>2.5499999999999998</v>
      </c>
      <c r="F333" s="178">
        <f>SUM(Pienkojeet!Q37)</f>
        <v>0</v>
      </c>
      <c r="G333" s="581">
        <f t="shared" si="21"/>
        <v>0</v>
      </c>
      <c r="H333" s="57">
        <v>-3500</v>
      </c>
      <c r="I333" s="22">
        <v>2.8</v>
      </c>
      <c r="J333" s="178">
        <f>SUM(Pienkojeet!Q50)</f>
        <v>0</v>
      </c>
      <c r="K333" s="586">
        <f>SUM(J333*2.8)</f>
        <v>0</v>
      </c>
      <c r="L333" s="580">
        <v>-4500</v>
      </c>
      <c r="M333" s="22">
        <v>2.99</v>
      </c>
      <c r="N333" s="178">
        <f>SUM(Pienkojeet!Q66)</f>
        <v>0</v>
      </c>
      <c r="O333" s="97">
        <f t="shared" si="18"/>
        <v>0</v>
      </c>
      <c r="P333" s="22">
        <v>3.24</v>
      </c>
      <c r="Q333" s="178">
        <f>SUM(Pienkojeet!O82)</f>
        <v>0</v>
      </c>
      <c r="R333" s="581">
        <f t="shared" si="19"/>
        <v>0</v>
      </c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</row>
    <row r="334" spans="1:52" ht="12.75" x14ac:dyDescent="0.2">
      <c r="A334" s="580">
        <v>-150</v>
      </c>
      <c r="B334" s="22">
        <v>2.9</v>
      </c>
      <c r="C334" s="178">
        <f>SUM(Pienkojeet!Q26)</f>
        <v>0</v>
      </c>
      <c r="D334" s="97">
        <f t="shared" si="20"/>
        <v>0</v>
      </c>
      <c r="E334" s="22">
        <v>3.13</v>
      </c>
      <c r="F334" s="178">
        <f>SUM(Pienkojeet!Q38)</f>
        <v>0</v>
      </c>
      <c r="G334" s="581">
        <f t="shared" si="21"/>
        <v>0</v>
      </c>
      <c r="H334" s="57">
        <v>-4000</v>
      </c>
      <c r="I334" s="22">
        <v>3.2</v>
      </c>
      <c r="J334" s="178">
        <f>SUM(Pienkojeet!Q51)</f>
        <v>0</v>
      </c>
      <c r="K334" s="586">
        <f>SUM(J334*3.2)</f>
        <v>0</v>
      </c>
      <c r="L334" s="662">
        <v>-5000</v>
      </c>
      <c r="M334" s="663">
        <v>3.23</v>
      </c>
      <c r="N334" s="388">
        <f>SUM(Pienkojeet!Q67)</f>
        <v>0</v>
      </c>
      <c r="O334" s="664">
        <f t="shared" si="18"/>
        <v>0</v>
      </c>
      <c r="P334" s="663">
        <v>3.5</v>
      </c>
      <c r="Q334" s="388">
        <f>SUM(Pienkojeet!O83)</f>
        <v>0</v>
      </c>
      <c r="R334" s="665">
        <f t="shared" si="19"/>
        <v>0</v>
      </c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</row>
    <row r="335" spans="1:52" ht="13.5" thickBot="1" x14ac:dyDescent="0.25">
      <c r="A335" s="582">
        <v>-200</v>
      </c>
      <c r="B335" s="583">
        <v>3.48</v>
      </c>
      <c r="C335" s="584">
        <f>SUM(Pienkojeet!Q27)</f>
        <v>0</v>
      </c>
      <c r="D335" s="588">
        <f t="shared" si="20"/>
        <v>0</v>
      </c>
      <c r="E335" s="583">
        <v>3.71</v>
      </c>
      <c r="F335" s="584">
        <f>SUM(Pienkojeet!Q39)</f>
        <v>0</v>
      </c>
      <c r="G335" s="585">
        <f t="shared" si="21"/>
        <v>0</v>
      </c>
      <c r="H335" s="57">
        <v>-4500</v>
      </c>
      <c r="I335" s="22">
        <v>3.6</v>
      </c>
      <c r="J335" s="178">
        <f>SUM(Pienkojeet!Q52)</f>
        <v>0</v>
      </c>
      <c r="K335" s="586">
        <f>SUM(J335*3.6)</f>
        <v>0</v>
      </c>
      <c r="L335" s="580">
        <v>-5500</v>
      </c>
      <c r="M335" s="13">
        <v>3.48</v>
      </c>
      <c r="N335" s="181">
        <f>SUM(Pienkojeet!Q68)</f>
        <v>0</v>
      </c>
      <c r="O335" s="664">
        <f t="shared" si="18"/>
        <v>0</v>
      </c>
      <c r="P335" s="13">
        <v>3.77</v>
      </c>
      <c r="Q335" s="181">
        <f>SUM(Pienkojeet!Q84)</f>
        <v>0</v>
      </c>
      <c r="R335" s="665">
        <f t="shared" si="19"/>
        <v>0</v>
      </c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</row>
    <row r="336" spans="1:52" ht="13.5" thickBot="1" x14ac:dyDescent="0.25">
      <c r="A336" s="15"/>
      <c r="B336" s="34"/>
      <c r="G336" s="171"/>
      <c r="H336" s="582">
        <v>-5000</v>
      </c>
      <c r="I336" s="583">
        <v>3.9</v>
      </c>
      <c r="J336" s="584">
        <f>SUM(Pienkojeet!Q53)</f>
        <v>0</v>
      </c>
      <c r="K336" s="587">
        <f>SUM(J336*3.9)</f>
        <v>0</v>
      </c>
      <c r="L336" s="582">
        <v>-6000</v>
      </c>
      <c r="M336" s="666">
        <v>3.72</v>
      </c>
      <c r="N336" s="667">
        <f>SUM(Pienkojeet!Q69)</f>
        <v>0</v>
      </c>
      <c r="O336" s="588">
        <f t="shared" si="18"/>
        <v>0</v>
      </c>
      <c r="P336" s="583">
        <v>4.04</v>
      </c>
      <c r="Q336" s="667">
        <f>SUM(Pienkojeet!Q85)</f>
        <v>0</v>
      </c>
      <c r="R336" s="585">
        <f t="shared" si="19"/>
        <v>0</v>
      </c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</row>
    <row r="337" spans="1:52" ht="13.5" customHeight="1" thickBot="1" x14ac:dyDescent="0.25">
      <c r="A337" s="643"/>
      <c r="B337" s="644"/>
      <c r="C337" s="645" t="s">
        <v>0</v>
      </c>
      <c r="D337" s="671">
        <f>SUM(D330:D335)</f>
        <v>0</v>
      </c>
      <c r="E337" s="646"/>
      <c r="F337" s="647" t="s">
        <v>0</v>
      </c>
      <c r="G337" s="672">
        <f>SUM(G330:G335)</f>
        <v>0</v>
      </c>
      <c r="H337" s="646"/>
      <c r="I337" s="648"/>
      <c r="J337" s="645" t="s">
        <v>0</v>
      </c>
      <c r="K337" s="672">
        <f>SUM(K329:K336)</f>
        <v>0</v>
      </c>
      <c r="L337" s="646"/>
      <c r="M337" s="648"/>
      <c r="N337" s="645" t="s">
        <v>0</v>
      </c>
      <c r="O337" s="672">
        <f>SUM(O327:O336)</f>
        <v>0</v>
      </c>
      <c r="P337" s="648"/>
      <c r="Q337" s="645" t="s">
        <v>0</v>
      </c>
      <c r="R337" s="672">
        <f>SUM(R327:R336)</f>
        <v>0</v>
      </c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AY337" s="109"/>
      <c r="AZ337" s="109"/>
    </row>
    <row r="338" spans="1:52" ht="5.25" customHeight="1" x14ac:dyDescent="0.2">
      <c r="B338" s="5"/>
      <c r="C338" s="5"/>
      <c r="D338" s="5"/>
      <c r="E338" s="5"/>
      <c r="F338" s="80"/>
      <c r="G338" s="80"/>
      <c r="H338" s="80"/>
      <c r="I338" s="80"/>
      <c r="J338" s="80"/>
      <c r="K338" s="80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AY338" s="109"/>
      <c r="AZ338" s="109"/>
    </row>
    <row r="339" spans="1:52" ht="12.75" customHeight="1" x14ac:dyDescent="0.45">
      <c r="C339" s="5"/>
      <c r="D339" s="5"/>
      <c r="E339" s="5"/>
      <c r="H339" s="589" t="s">
        <v>399</v>
      </c>
      <c r="I339" s="80"/>
      <c r="J339" s="80"/>
      <c r="K339" s="80"/>
      <c r="P339" s="644"/>
      <c r="Q339" s="644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AY339" s="109"/>
      <c r="AZ339" s="109"/>
    </row>
    <row r="340" spans="1:52" ht="12.75" customHeight="1" thickBot="1" x14ac:dyDescent="0.5">
      <c r="C340" s="46"/>
      <c r="D340" s="5"/>
      <c r="E340" s="46"/>
      <c r="H340" s="725" t="s">
        <v>482</v>
      </c>
      <c r="I340" s="725"/>
      <c r="J340" s="725"/>
      <c r="K340" s="725"/>
      <c r="L340" s="725"/>
      <c r="M340" s="725"/>
      <c r="N340" s="725"/>
      <c r="P340" s="652" t="s">
        <v>204</v>
      </c>
      <c r="Q340" s="653" t="s">
        <v>0</v>
      </c>
      <c r="R340" s="668">
        <f>SUM(J318+D337+G337+K337+Q312+Q318+O337+R337)</f>
        <v>0</v>
      </c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AY340" s="109"/>
      <c r="AZ340" s="109"/>
    </row>
    <row r="341" spans="1:52" ht="12.75" customHeight="1" x14ac:dyDescent="0.45">
      <c r="C341" s="46"/>
      <c r="D341" s="5"/>
      <c r="E341" s="46"/>
      <c r="H341" s="725"/>
      <c r="I341" s="725"/>
      <c r="J341" s="725"/>
      <c r="K341" s="725"/>
      <c r="L341" s="725"/>
      <c r="M341" s="725"/>
      <c r="N341" s="725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</row>
    <row r="342" spans="1:52" ht="21" customHeight="1" x14ac:dyDescent="0.2">
      <c r="C342" s="46"/>
      <c r="D342" s="5"/>
      <c r="E342" s="46"/>
      <c r="F342" s="80"/>
      <c r="G342" s="80"/>
      <c r="H342" s="80"/>
      <c r="I342" s="80"/>
      <c r="J342" s="80"/>
      <c r="K342" s="80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</row>
    <row r="343" spans="1:52" ht="0.75" customHeight="1" x14ac:dyDescent="0.2">
      <c r="C343" s="46"/>
      <c r="D343" s="5"/>
      <c r="E343" s="46"/>
      <c r="F343" s="5"/>
      <c r="G343" s="80"/>
      <c r="H343" s="80"/>
      <c r="I343" s="80"/>
      <c r="J343" s="80"/>
      <c r="K343" s="80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</row>
    <row r="344" spans="1:52" ht="19.5" customHeight="1" x14ac:dyDescent="0.25">
      <c r="B344" s="35" t="s">
        <v>503</v>
      </c>
      <c r="C344" s="5"/>
      <c r="D344" s="5"/>
      <c r="E344" s="5"/>
      <c r="F344" s="5"/>
      <c r="G344" s="5"/>
      <c r="J344" s="36"/>
      <c r="T344" s="109"/>
      <c r="U344" s="157"/>
      <c r="V344" s="214"/>
      <c r="W344" s="109"/>
      <c r="X344" s="214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</row>
    <row r="345" spans="1:52" ht="12.75" x14ac:dyDescent="0.2">
      <c r="B345" s="5"/>
      <c r="C345" s="5"/>
      <c r="D345" s="5"/>
      <c r="E345" s="5"/>
      <c r="F345" s="5"/>
      <c r="G345" s="5"/>
      <c r="J345" s="325" t="s">
        <v>221</v>
      </c>
      <c r="T345" s="109"/>
      <c r="U345" s="157"/>
      <c r="V345" s="214"/>
      <c r="W345" s="109"/>
      <c r="X345" s="214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</row>
    <row r="346" spans="1:52" ht="12.75" x14ac:dyDescent="0.2">
      <c r="A346" s="41"/>
      <c r="B346" s="9" t="s">
        <v>54</v>
      </c>
      <c r="C346" s="700" t="s">
        <v>51</v>
      </c>
      <c r="D346" s="701"/>
      <c r="E346" s="5"/>
      <c r="F346" s="5"/>
      <c r="G346" s="5"/>
      <c r="T346" s="109"/>
      <c r="U346" s="157"/>
      <c r="V346" s="214"/>
      <c r="W346" s="109"/>
      <c r="X346" s="214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</row>
    <row r="347" spans="1:52" ht="12.75" x14ac:dyDescent="0.2">
      <c r="A347" s="41"/>
      <c r="B347" s="57" t="s">
        <v>5</v>
      </c>
      <c r="C347" s="716" t="s">
        <v>15</v>
      </c>
      <c r="D347" s="716"/>
      <c r="E347" s="5"/>
      <c r="F347" s="5"/>
      <c r="G347" s="5"/>
      <c r="T347" s="109"/>
      <c r="U347" s="157"/>
      <c r="V347" s="214"/>
      <c r="W347" s="109"/>
      <c r="X347" s="214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</row>
    <row r="348" spans="1:52" ht="12.75" x14ac:dyDescent="0.2">
      <c r="A348" s="41"/>
      <c r="B348" s="57" t="s">
        <v>6</v>
      </c>
      <c r="C348" s="716" t="s">
        <v>16</v>
      </c>
      <c r="D348" s="716"/>
      <c r="E348" s="5"/>
      <c r="F348" s="5"/>
      <c r="G348" s="5"/>
      <c r="T348" s="109"/>
      <c r="U348" s="157"/>
      <c r="V348" s="214"/>
      <c r="W348" s="109"/>
      <c r="X348" s="214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AY348" s="109"/>
      <c r="AZ348" s="109"/>
    </row>
    <row r="349" spans="1:52" ht="12.75" x14ac:dyDescent="0.2">
      <c r="A349" s="41"/>
      <c r="B349" s="57" t="s">
        <v>7</v>
      </c>
      <c r="C349" s="716" t="s">
        <v>17</v>
      </c>
      <c r="D349" s="716"/>
      <c r="E349" s="5"/>
      <c r="F349" s="5"/>
      <c r="G349" s="5"/>
      <c r="T349" s="109"/>
      <c r="U349" s="157"/>
      <c r="V349" s="214"/>
      <c r="W349" s="109"/>
      <c r="X349" s="214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AY349" s="109"/>
      <c r="AZ349" s="109"/>
    </row>
    <row r="350" spans="1:52" ht="12.75" x14ac:dyDescent="0.2">
      <c r="A350" s="41"/>
      <c r="B350" s="57" t="s">
        <v>8</v>
      </c>
      <c r="C350" s="716" t="s">
        <v>18</v>
      </c>
      <c r="D350" s="716"/>
      <c r="E350" s="5"/>
      <c r="F350" s="5"/>
      <c r="G350" s="5"/>
      <c r="T350" s="109"/>
      <c r="U350" s="157"/>
      <c r="V350" s="214"/>
      <c r="W350" s="109"/>
      <c r="X350" s="214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AY350" s="109"/>
      <c r="AZ350" s="109"/>
    </row>
    <row r="351" spans="1:52" ht="12.75" x14ac:dyDescent="0.2">
      <c r="A351" s="41"/>
      <c r="B351" s="57" t="s">
        <v>9</v>
      </c>
      <c r="C351" s="716" t="s">
        <v>19</v>
      </c>
      <c r="D351" s="716"/>
      <c r="E351" s="5"/>
      <c r="F351" s="5"/>
      <c r="G351" s="5"/>
      <c r="T351" s="109"/>
      <c r="U351" s="157"/>
      <c r="V351" s="214"/>
      <c r="W351" s="109"/>
      <c r="X351" s="214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AY351" s="109"/>
      <c r="AZ351" s="109"/>
    </row>
    <row r="352" spans="1:52" ht="12.75" x14ac:dyDescent="0.2">
      <c r="B352" s="5"/>
      <c r="C352" s="5"/>
      <c r="D352" s="5"/>
      <c r="E352" s="5"/>
      <c r="F352" s="5"/>
      <c r="G352" s="5"/>
      <c r="T352" s="109"/>
      <c r="U352" s="157"/>
      <c r="V352" s="214"/>
      <c r="W352" s="109"/>
      <c r="X352" s="214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  <c r="AW352" s="109"/>
      <c r="AX352" s="109"/>
      <c r="AY352" s="109"/>
      <c r="AZ352" s="109"/>
    </row>
    <row r="353" spans="1:52" ht="12.75" x14ac:dyDescent="0.2">
      <c r="A353" s="41"/>
      <c r="B353" s="11" t="s">
        <v>54</v>
      </c>
      <c r="C353" s="6"/>
      <c r="D353" s="151" t="s">
        <v>15</v>
      </c>
      <c r="E353" s="320"/>
      <c r="F353" s="321" t="s">
        <v>67</v>
      </c>
      <c r="G353" s="151" t="s">
        <v>16</v>
      </c>
      <c r="H353" s="320"/>
      <c r="I353" s="321"/>
      <c r="J353" s="151" t="s">
        <v>17</v>
      </c>
      <c r="K353" s="320"/>
      <c r="L353" s="321" t="s">
        <v>67</v>
      </c>
      <c r="M353" s="151" t="s">
        <v>320</v>
      </c>
      <c r="N353" s="320"/>
      <c r="O353" s="321" t="s">
        <v>67</v>
      </c>
      <c r="P353" s="151" t="s">
        <v>19</v>
      </c>
      <c r="Q353" s="7"/>
      <c r="T353" s="109"/>
      <c r="U353" s="157"/>
      <c r="V353" s="214"/>
      <c r="W353" s="109"/>
      <c r="X353" s="214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  <c r="AW353" s="109"/>
      <c r="AX353" s="109"/>
      <c r="AY353" s="109"/>
      <c r="AZ353" s="109"/>
    </row>
    <row r="354" spans="1:52" ht="12.75" x14ac:dyDescent="0.2">
      <c r="A354" s="41"/>
      <c r="B354" s="12" t="s">
        <v>61</v>
      </c>
      <c r="C354" s="48" t="s">
        <v>0</v>
      </c>
      <c r="D354" s="16" t="s">
        <v>145</v>
      </c>
      <c r="E354" s="58" t="s">
        <v>0</v>
      </c>
      <c r="F354" s="48" t="s">
        <v>0</v>
      </c>
      <c r="G354" s="16" t="s">
        <v>145</v>
      </c>
      <c r="H354" s="58" t="s">
        <v>0</v>
      </c>
      <c r="I354" s="48" t="s">
        <v>0</v>
      </c>
      <c r="J354" s="16" t="s">
        <v>145</v>
      </c>
      <c r="K354" s="58" t="s">
        <v>0</v>
      </c>
      <c r="L354" s="48" t="s">
        <v>0</v>
      </c>
      <c r="M354" s="16" t="s">
        <v>145</v>
      </c>
      <c r="N354" s="58" t="s">
        <v>0</v>
      </c>
      <c r="O354" s="48" t="s">
        <v>0</v>
      </c>
      <c r="P354" s="16" t="s">
        <v>145</v>
      </c>
      <c r="Q354" s="58" t="s">
        <v>0</v>
      </c>
      <c r="T354" s="109"/>
      <c r="U354" s="157"/>
      <c r="V354" s="214"/>
      <c r="W354" s="109"/>
      <c r="X354" s="214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  <c r="AW354" s="109"/>
      <c r="AX354" s="109"/>
      <c r="AY354" s="109"/>
      <c r="AZ354" s="109"/>
    </row>
    <row r="355" spans="1:52" ht="12.75" x14ac:dyDescent="0.2">
      <c r="A355" s="41"/>
      <c r="B355" s="55" t="s">
        <v>5</v>
      </c>
      <c r="C355" s="22">
        <v>0.17</v>
      </c>
      <c r="D355" s="178">
        <f>SUM(Aksiaalipuhaltimet!Q9)</f>
        <v>0</v>
      </c>
      <c r="E355" s="97">
        <f>SUM(D355*0.17)</f>
        <v>0</v>
      </c>
      <c r="F355" s="22">
        <v>0.28999999999999998</v>
      </c>
      <c r="G355" s="178">
        <f>SUM(Aksiaalipuhaltimet!Q10)</f>
        <v>0</v>
      </c>
      <c r="H355" s="97">
        <f>SUM(G355*0.29)</f>
        <v>0</v>
      </c>
      <c r="I355" s="22">
        <v>0.37</v>
      </c>
      <c r="J355" s="178">
        <f>SUM(Aksiaalipuhaltimet!Q11)</f>
        <v>0</v>
      </c>
      <c r="K355" s="97">
        <f>SUM(J355*0.37)</f>
        <v>0</v>
      </c>
      <c r="L355" s="22">
        <v>0.46</v>
      </c>
      <c r="M355" s="178">
        <f>SUM(Aksiaalipuhaltimet!Q12)</f>
        <v>0</v>
      </c>
      <c r="N355" s="97">
        <f>SUM(M355*0.46)</f>
        <v>0</v>
      </c>
      <c r="O355" s="22">
        <v>0.56999999999999995</v>
      </c>
      <c r="P355" s="178">
        <f>SUM(Aksiaalipuhaltimet!Q13)</f>
        <v>0</v>
      </c>
      <c r="Q355" s="97">
        <f>SUM(P355*0.57)</f>
        <v>0</v>
      </c>
      <c r="T355" s="109"/>
      <c r="U355" s="157"/>
      <c r="V355" s="214"/>
      <c r="W355" s="109"/>
      <c r="X355" s="214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  <c r="AV355" s="109"/>
      <c r="AW355" s="109"/>
      <c r="AX355" s="109"/>
      <c r="AY355" s="109"/>
      <c r="AZ355" s="109"/>
    </row>
    <row r="356" spans="1:52" ht="12.75" x14ac:dyDescent="0.2">
      <c r="A356" s="41"/>
      <c r="B356" s="55" t="s">
        <v>6</v>
      </c>
      <c r="C356" s="22">
        <v>0.17</v>
      </c>
      <c r="D356" s="178">
        <f>SUM(Aksiaalipuhaltimet!Q20)</f>
        <v>0</v>
      </c>
      <c r="E356" s="97">
        <f>SUM(D356*0.17)</f>
        <v>0</v>
      </c>
      <c r="F356" s="22">
        <v>0.28999999999999998</v>
      </c>
      <c r="G356" s="178">
        <f>SUM(Aksiaalipuhaltimet!Q21)</f>
        <v>0</v>
      </c>
      <c r="H356" s="97">
        <f>SUM(G356*0.29)</f>
        <v>0</v>
      </c>
      <c r="I356" s="22">
        <v>0.37</v>
      </c>
      <c r="J356" s="178">
        <f>SUM(Aksiaalipuhaltimet!Q22)</f>
        <v>0</v>
      </c>
      <c r="K356" s="97">
        <f>SUM(J356*0.37)</f>
        <v>0</v>
      </c>
      <c r="L356" s="22">
        <v>0.46</v>
      </c>
      <c r="M356" s="178">
        <f>SUM(Aksiaalipuhaltimet!Q23)</f>
        <v>0</v>
      </c>
      <c r="N356" s="97">
        <f>SUM(M356*0.46)</f>
        <v>0</v>
      </c>
      <c r="O356" s="22">
        <v>0.56999999999999995</v>
      </c>
      <c r="P356" s="178">
        <f>SUM(Aksiaalipuhaltimet!Q24)</f>
        <v>0</v>
      </c>
      <c r="Q356" s="97">
        <f>SUM(P356*0.57)</f>
        <v>0</v>
      </c>
      <c r="T356" s="109"/>
      <c r="U356" s="157"/>
      <c r="V356" s="214"/>
      <c r="W356" s="109"/>
      <c r="X356" s="214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</row>
    <row r="357" spans="1:52" ht="12.75" x14ac:dyDescent="0.2">
      <c r="A357" s="41"/>
      <c r="B357" s="55" t="s">
        <v>7</v>
      </c>
      <c r="C357" s="22">
        <v>0.28999999999999998</v>
      </c>
      <c r="D357" s="178">
        <f>SUM(Aksiaalipuhaltimet!Q31)</f>
        <v>0</v>
      </c>
      <c r="E357" s="97">
        <f>SUM(D357*0.29)</f>
        <v>0</v>
      </c>
      <c r="F357" s="22">
        <v>0.37</v>
      </c>
      <c r="G357" s="178">
        <f>SUM(Aksiaalipuhaltimet!Q32)</f>
        <v>0</v>
      </c>
      <c r="H357" s="97">
        <f>SUM(G357*0.37)</f>
        <v>0</v>
      </c>
      <c r="I357" s="22">
        <v>0.46</v>
      </c>
      <c r="J357" s="178">
        <f>SUM(Aksiaalipuhaltimet!Q33)</f>
        <v>0</v>
      </c>
      <c r="K357" s="97">
        <f>SUM(J357*0.46)</f>
        <v>0</v>
      </c>
      <c r="L357" s="22">
        <v>0.56999999999999995</v>
      </c>
      <c r="M357" s="178">
        <f>SUM(Aksiaalipuhaltimet!Q34)</f>
        <v>0</v>
      </c>
      <c r="N357" s="97">
        <f>SUM(M357*0.57)</f>
        <v>0</v>
      </c>
      <c r="O357" s="22">
        <v>0.66</v>
      </c>
      <c r="P357" s="178">
        <f>SUM(Aksiaalipuhaltimet!Q35)</f>
        <v>0</v>
      </c>
      <c r="Q357" s="97">
        <f>SUM(P357*0.66)</f>
        <v>0</v>
      </c>
      <c r="T357" s="109"/>
      <c r="U357" s="157"/>
      <c r="V357" s="214"/>
      <c r="W357" s="109"/>
      <c r="X357" s="214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</row>
    <row r="358" spans="1:52" ht="12.75" x14ac:dyDescent="0.2">
      <c r="A358" s="41"/>
      <c r="B358" s="55" t="s">
        <v>8</v>
      </c>
      <c r="C358" s="22">
        <v>0.37</v>
      </c>
      <c r="D358" s="178">
        <f>SUM(Aksiaalipuhaltimet!Q44)</f>
        <v>0</v>
      </c>
      <c r="E358" s="97">
        <f>SUM(D358*0.37)</f>
        <v>0</v>
      </c>
      <c r="F358" s="22">
        <v>0.56999999999999995</v>
      </c>
      <c r="G358" s="178">
        <f>SUM(Aksiaalipuhaltimet!Q45)</f>
        <v>0</v>
      </c>
      <c r="H358" s="97">
        <f>SUM(G358*0.57)</f>
        <v>0</v>
      </c>
      <c r="I358" s="22">
        <v>0.74</v>
      </c>
      <c r="J358" s="178">
        <f>SUM(Aksiaalipuhaltimet!Q46)</f>
        <v>0</v>
      </c>
      <c r="K358" s="97">
        <f>SUM(J358*0.74)</f>
        <v>0</v>
      </c>
      <c r="L358" s="22">
        <v>0.94</v>
      </c>
      <c r="M358" s="178">
        <f>SUM(Aksiaalipuhaltimet!Q47)</f>
        <v>0</v>
      </c>
      <c r="N358" s="97">
        <f>SUM(M358*0.94)</f>
        <v>0</v>
      </c>
      <c r="O358" s="22">
        <v>1.1100000000000001</v>
      </c>
      <c r="P358" s="178">
        <f>SUM(Aksiaalipuhaltimet!Q48)</f>
        <v>0</v>
      </c>
      <c r="Q358" s="97">
        <f>SUM(P358*1.11)</f>
        <v>0</v>
      </c>
      <c r="T358" s="109"/>
      <c r="U358" s="157"/>
      <c r="V358" s="214"/>
      <c r="W358" s="109"/>
      <c r="X358" s="214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  <c r="AV358" s="109"/>
      <c r="AW358" s="109"/>
      <c r="AX358" s="109"/>
      <c r="AY358" s="109"/>
      <c r="AZ358" s="109"/>
    </row>
    <row r="359" spans="1:52" ht="12.75" x14ac:dyDescent="0.2">
      <c r="A359" s="41"/>
      <c r="B359" s="55" t="s">
        <v>9</v>
      </c>
      <c r="C359" s="22">
        <v>0.37</v>
      </c>
      <c r="D359" s="178">
        <f>SUM(Aksiaalipuhaltimet!Q56)</f>
        <v>0</v>
      </c>
      <c r="E359" s="97">
        <f>SUM(D359*0.37)</f>
        <v>0</v>
      </c>
      <c r="F359" s="22">
        <v>0.56999999999999995</v>
      </c>
      <c r="G359" s="178">
        <f>SUM(Aksiaalipuhaltimet!Q57)</f>
        <v>0</v>
      </c>
      <c r="H359" s="97">
        <f>SUM(G359*0.57)</f>
        <v>0</v>
      </c>
      <c r="I359" s="22">
        <v>0.74</v>
      </c>
      <c r="J359" s="178">
        <f>SUM(Aksiaalipuhaltimet!Q58)</f>
        <v>0</v>
      </c>
      <c r="K359" s="97">
        <f>SUM(J359*0.74)</f>
        <v>0</v>
      </c>
      <c r="L359" s="22">
        <v>0.94</v>
      </c>
      <c r="M359" s="178">
        <f>SUM(Aksiaalipuhaltimet!Q59)</f>
        <v>0</v>
      </c>
      <c r="N359" s="97">
        <f>SUM(M359*0.94)</f>
        <v>0</v>
      </c>
      <c r="O359" s="22">
        <v>1.1100000000000001</v>
      </c>
      <c r="P359" s="178">
        <f>SUM(Aksiaalipuhaltimet!Q60)</f>
        <v>0</v>
      </c>
      <c r="Q359" s="97">
        <f>SUM(P359*1.11)</f>
        <v>0</v>
      </c>
      <c r="T359" s="109"/>
      <c r="U359" s="157"/>
      <c r="V359" s="214"/>
      <c r="W359" s="109"/>
      <c r="X359" s="214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  <c r="AV359" s="109"/>
      <c r="AW359" s="109"/>
      <c r="AX359" s="109"/>
      <c r="AY359" s="109"/>
      <c r="AZ359" s="109"/>
    </row>
    <row r="360" spans="1:52" ht="12.75" x14ac:dyDescent="0.2">
      <c r="A360" s="41"/>
      <c r="B360" s="55" t="s">
        <v>56</v>
      </c>
      <c r="C360" s="22">
        <v>0.56999999999999995</v>
      </c>
      <c r="D360" s="178">
        <f>SUM(Aksiaalipuhaltimet!Q68)</f>
        <v>0</v>
      </c>
      <c r="E360" s="97">
        <f>SUM(D360*0.57)</f>
        <v>0</v>
      </c>
      <c r="F360" s="22">
        <v>0.74</v>
      </c>
      <c r="G360" s="178">
        <f>SUM(Aksiaalipuhaltimet!Q69)</f>
        <v>0</v>
      </c>
      <c r="H360" s="97">
        <f>SUM(G360*0.74)</f>
        <v>0</v>
      </c>
      <c r="I360" s="22">
        <v>0.94</v>
      </c>
      <c r="J360" s="178">
        <f>SUM(Aksiaalipuhaltimet!Q70)</f>
        <v>0</v>
      </c>
      <c r="K360" s="97">
        <f>SUM(J360*0.94)</f>
        <v>0</v>
      </c>
      <c r="L360" s="22">
        <v>1.1100000000000001</v>
      </c>
      <c r="M360" s="178">
        <f>SUM(Aksiaalipuhaltimet!Q71)</f>
        <v>0</v>
      </c>
      <c r="N360" s="97">
        <f>SUM(M360*1.11)</f>
        <v>0</v>
      </c>
      <c r="O360" s="22">
        <v>1.31</v>
      </c>
      <c r="P360" s="178">
        <f>SUM(Aksiaalipuhaltimet!Q72)</f>
        <v>0</v>
      </c>
      <c r="Q360" s="97">
        <f>SUM(P360*1.31)</f>
        <v>0</v>
      </c>
      <c r="T360" s="109"/>
      <c r="U360" s="157"/>
      <c r="V360" s="214"/>
      <c r="W360" s="109"/>
      <c r="X360" s="214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</row>
    <row r="361" spans="1:52" ht="12.75" x14ac:dyDescent="0.2">
      <c r="A361" s="41"/>
      <c r="B361" s="55" t="s">
        <v>57</v>
      </c>
      <c r="C361" s="22">
        <v>0.56999999999999995</v>
      </c>
      <c r="D361" s="178">
        <f>SUM(Aksiaalipuhaltimet!Q82)</f>
        <v>0</v>
      </c>
      <c r="E361" s="97">
        <f>SUM(D361*0.57)</f>
        <v>0</v>
      </c>
      <c r="F361" s="22">
        <v>0.74</v>
      </c>
      <c r="G361" s="178">
        <f>SUM(Aksiaalipuhaltimet!Q83)</f>
        <v>0</v>
      </c>
      <c r="H361" s="97">
        <f>SUM(G361*0.74)</f>
        <v>0</v>
      </c>
      <c r="I361" s="22">
        <v>0.94</v>
      </c>
      <c r="J361" s="178">
        <f>SUM(Aksiaalipuhaltimet!Q84)</f>
        <v>0</v>
      </c>
      <c r="K361" s="97">
        <f>SUM(J361*0.94)</f>
        <v>0</v>
      </c>
      <c r="L361" s="22">
        <v>1.1100000000000001</v>
      </c>
      <c r="M361" s="178">
        <f>SUM(Aksiaalipuhaltimet!Q85)</f>
        <v>0</v>
      </c>
      <c r="N361" s="97">
        <f>SUM(M361*1.11)</f>
        <v>0</v>
      </c>
      <c r="O361" s="22">
        <v>1.31</v>
      </c>
      <c r="P361" s="178">
        <f>SUM(Aksiaalipuhaltimet!Q86)</f>
        <v>0</v>
      </c>
      <c r="Q361" s="97">
        <f>SUM(P361*1.31)</f>
        <v>0</v>
      </c>
      <c r="T361" s="109"/>
      <c r="U361" s="157"/>
      <c r="V361" s="214"/>
      <c r="W361" s="109"/>
      <c r="X361" s="214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  <c r="AW361" s="109"/>
      <c r="AX361" s="109"/>
      <c r="AY361" s="109"/>
      <c r="AZ361" s="109"/>
    </row>
    <row r="362" spans="1:52" ht="12.75" x14ac:dyDescent="0.2">
      <c r="A362" s="41"/>
      <c r="B362" s="55" t="s">
        <v>58</v>
      </c>
      <c r="C362" s="22">
        <v>0.74</v>
      </c>
      <c r="D362" s="178">
        <f>SUM(Aksiaalipuhaltimet!Q94)</f>
        <v>0</v>
      </c>
      <c r="E362" s="97">
        <f>SUM(D362*0.74)</f>
        <v>0</v>
      </c>
      <c r="F362" s="22">
        <v>0.94</v>
      </c>
      <c r="G362" s="178">
        <f>SUM(Aksiaalipuhaltimet!Q95)</f>
        <v>0</v>
      </c>
      <c r="H362" s="97">
        <f>SUM(G362*0.94)</f>
        <v>0</v>
      </c>
      <c r="I362" s="22">
        <v>1.1100000000000001</v>
      </c>
      <c r="J362" s="178">
        <f>SUM(Aksiaalipuhaltimet!Q96)</f>
        <v>0</v>
      </c>
      <c r="K362" s="97">
        <f>SUM(J362*1.11)</f>
        <v>0</v>
      </c>
      <c r="L362" s="22">
        <v>1.31</v>
      </c>
      <c r="M362" s="178">
        <f>SUM(Aksiaalipuhaltimet!Q97)</f>
        <v>0</v>
      </c>
      <c r="N362" s="97">
        <f>SUM(M362*1.31)</f>
        <v>0</v>
      </c>
      <c r="O362" s="22">
        <v>1.45</v>
      </c>
      <c r="P362" s="178">
        <f>SUM(Aksiaalipuhaltimet!Q98)</f>
        <v>0</v>
      </c>
      <c r="Q362" s="97">
        <f>SUM(P362*1.45)</f>
        <v>0</v>
      </c>
      <c r="T362" s="109"/>
      <c r="U362" s="157"/>
      <c r="V362" s="214"/>
      <c r="W362" s="109"/>
      <c r="X362" s="214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  <c r="AW362" s="109"/>
      <c r="AX362" s="109"/>
      <c r="AY362" s="109"/>
      <c r="AZ362" s="109"/>
    </row>
    <row r="363" spans="1:52" ht="12.75" x14ac:dyDescent="0.2">
      <c r="A363" s="41"/>
      <c r="B363" s="55" t="s">
        <v>59</v>
      </c>
      <c r="C363" s="22">
        <v>0.74</v>
      </c>
      <c r="D363" s="178">
        <f>SUM(Aksiaalipuhaltimet!Q106)</f>
        <v>0</v>
      </c>
      <c r="E363" s="97">
        <f>SUM(D363*0.74)</f>
        <v>0</v>
      </c>
      <c r="F363" s="22">
        <v>0.94</v>
      </c>
      <c r="G363" s="178">
        <f>SUM(Aksiaalipuhaltimet!Q107)</f>
        <v>0</v>
      </c>
      <c r="H363" s="97">
        <f>SUM(G363*0.94)</f>
        <v>0</v>
      </c>
      <c r="I363" s="22">
        <v>1.1100000000000001</v>
      </c>
      <c r="J363" s="178">
        <f>SUM(Aksiaalipuhaltimet!Q108)</f>
        <v>0</v>
      </c>
      <c r="K363" s="97">
        <f>SUM(J363*1.11)</f>
        <v>0</v>
      </c>
      <c r="L363" s="22">
        <v>1.31</v>
      </c>
      <c r="M363" s="178">
        <f>SUM(Aksiaalipuhaltimet!Q109)</f>
        <v>0</v>
      </c>
      <c r="N363" s="97">
        <f>SUM(M363*1.31)</f>
        <v>0</v>
      </c>
      <c r="O363" s="22">
        <v>1.45</v>
      </c>
      <c r="P363" s="178">
        <f>SUM(Aksiaalipuhaltimet!Q110)</f>
        <v>0</v>
      </c>
      <c r="Q363" s="97">
        <f>SUM(P363*1.45)</f>
        <v>0</v>
      </c>
      <c r="T363" s="109"/>
      <c r="U363" s="157"/>
      <c r="V363" s="214"/>
      <c r="W363" s="109"/>
      <c r="X363" s="214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  <c r="AW363" s="109"/>
      <c r="AX363" s="109"/>
      <c r="AY363" s="109"/>
      <c r="AZ363" s="109"/>
    </row>
    <row r="364" spans="1:52" ht="12.75" x14ac:dyDescent="0.2">
      <c r="A364" s="41"/>
      <c r="B364" s="55" t="s">
        <v>60</v>
      </c>
      <c r="C364" s="22">
        <v>1.1100000000000001</v>
      </c>
      <c r="D364" s="178">
        <f>SUM(Aksiaalipuhaltimet!Q121)</f>
        <v>0</v>
      </c>
      <c r="E364" s="97">
        <f>SUM(D364*1.11)</f>
        <v>0</v>
      </c>
      <c r="F364" s="22">
        <v>1.31</v>
      </c>
      <c r="G364" s="178">
        <f>SUM(Aksiaalipuhaltimet!Q122)</f>
        <v>0</v>
      </c>
      <c r="H364" s="97">
        <f>SUM(G364*1.31)</f>
        <v>0</v>
      </c>
      <c r="I364" s="22">
        <v>1.48</v>
      </c>
      <c r="J364" s="178">
        <f>SUM(Aksiaalipuhaltimet!Q123)</f>
        <v>0</v>
      </c>
      <c r="K364" s="97">
        <f>SUM(J364*1.48)</f>
        <v>0</v>
      </c>
      <c r="L364" s="22">
        <v>1.68</v>
      </c>
      <c r="M364" s="178">
        <f>SUM(Aksiaalipuhaltimet!Q124)</f>
        <v>0</v>
      </c>
      <c r="N364" s="97">
        <f>SUM(M364*1.68)</f>
        <v>0</v>
      </c>
      <c r="O364" s="22">
        <v>1.87</v>
      </c>
      <c r="P364" s="178">
        <f>SUM(Aksiaalipuhaltimet!Q125)</f>
        <v>0</v>
      </c>
      <c r="Q364" s="97">
        <f>SUM(P364*1.87)</f>
        <v>0</v>
      </c>
      <c r="T364" s="109"/>
      <c r="U364" s="157"/>
      <c r="V364" s="109"/>
      <c r="W364" s="109"/>
      <c r="X364" s="214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  <c r="AW364" s="109"/>
      <c r="AX364" s="109"/>
      <c r="AY364" s="109"/>
      <c r="AZ364" s="109"/>
    </row>
    <row r="365" spans="1:52" ht="15.75" customHeight="1" thickBot="1" x14ac:dyDescent="0.25">
      <c r="B365" s="83"/>
      <c r="C365" s="83"/>
      <c r="D365" s="170" t="s">
        <v>0</v>
      </c>
      <c r="E365" s="676">
        <f>SUM(E355:E364)</f>
        <v>0</v>
      </c>
      <c r="F365" s="90"/>
      <c r="G365" s="170" t="s">
        <v>0</v>
      </c>
      <c r="H365" s="676">
        <f>SUM(H355:H364)</f>
        <v>0</v>
      </c>
      <c r="I365" s="90"/>
      <c r="J365" s="170" t="s">
        <v>0</v>
      </c>
      <c r="K365" s="676">
        <f>SUM(K355:K364)</f>
        <v>0</v>
      </c>
      <c r="L365" s="90"/>
      <c r="M365" s="170" t="s">
        <v>0</v>
      </c>
      <c r="N365" s="676">
        <f>SUM(N355:N364)</f>
        <v>0</v>
      </c>
      <c r="O365" s="90"/>
      <c r="P365" s="170" t="s">
        <v>0</v>
      </c>
      <c r="Q365" s="676">
        <f>SUM(Q355:Q364)</f>
        <v>0</v>
      </c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  <c r="AV365" s="109"/>
      <c r="AW365" s="109"/>
      <c r="AX365" s="109"/>
      <c r="AY365" s="109"/>
      <c r="AZ365" s="109"/>
    </row>
    <row r="366" spans="1:52" ht="12.75" x14ac:dyDescent="0.2">
      <c r="B366" s="83"/>
      <c r="C366" s="83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  <c r="AT366" s="109"/>
      <c r="AU366" s="109"/>
      <c r="AV366" s="109"/>
      <c r="AW366" s="109"/>
      <c r="AX366" s="109"/>
      <c r="AY366" s="109"/>
      <c r="AZ366" s="109"/>
    </row>
    <row r="367" spans="1:52" ht="12.75" x14ac:dyDescent="0.2">
      <c r="B367" s="83"/>
      <c r="C367" s="83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  <c r="AT367" s="109"/>
      <c r="AU367" s="109"/>
      <c r="AV367" s="109"/>
      <c r="AW367" s="109"/>
      <c r="AX367" s="109"/>
      <c r="AY367" s="109"/>
      <c r="AZ367" s="109"/>
    </row>
    <row r="368" spans="1:52" ht="12.75" x14ac:dyDescent="0.2">
      <c r="B368" s="15" t="s">
        <v>5</v>
      </c>
      <c r="C368" s="5" t="s">
        <v>20</v>
      </c>
      <c r="D368" s="5"/>
      <c r="E368" s="46"/>
      <c r="F368" s="46"/>
      <c r="G368" s="46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  <c r="AT368" s="109"/>
      <c r="AU368" s="109"/>
      <c r="AV368" s="109"/>
      <c r="AW368" s="109"/>
      <c r="AX368" s="109"/>
      <c r="AY368" s="109"/>
      <c r="AZ368" s="109"/>
    </row>
    <row r="369" spans="1:52" ht="12.75" x14ac:dyDescent="0.2">
      <c r="B369" s="15" t="s">
        <v>6</v>
      </c>
      <c r="C369" s="5" t="s">
        <v>21</v>
      </c>
      <c r="D369" s="5"/>
      <c r="E369" s="46"/>
      <c r="F369" s="46"/>
      <c r="G369" s="46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  <c r="AT369" s="109"/>
      <c r="AU369" s="109"/>
      <c r="AV369" s="109"/>
      <c r="AW369" s="109"/>
      <c r="AX369" s="109"/>
      <c r="AY369" s="109"/>
      <c r="AZ369" s="109"/>
    </row>
    <row r="370" spans="1:52" ht="12.75" x14ac:dyDescent="0.2">
      <c r="B370" s="15" t="s">
        <v>7</v>
      </c>
      <c r="C370" s="5" t="s">
        <v>22</v>
      </c>
      <c r="D370" s="5"/>
      <c r="E370" s="46"/>
      <c r="F370" s="46"/>
      <c r="G370" s="447" t="s">
        <v>27</v>
      </c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  <c r="AT370" s="109"/>
      <c r="AU370" s="109"/>
      <c r="AV370" s="109"/>
      <c r="AW370" s="109"/>
      <c r="AX370" s="109"/>
      <c r="AY370" s="109"/>
      <c r="AZ370" s="109"/>
    </row>
    <row r="371" spans="1:52" ht="12.75" x14ac:dyDescent="0.2">
      <c r="B371" s="15" t="s">
        <v>8</v>
      </c>
      <c r="C371" s="5" t="s">
        <v>23</v>
      </c>
      <c r="D371" s="5"/>
      <c r="E371" s="46"/>
      <c r="F371" s="46"/>
      <c r="G371" s="693" t="s">
        <v>486</v>
      </c>
      <c r="H371" s="688" t="s">
        <v>444</v>
      </c>
      <c r="I371" s="688" t="s">
        <v>145</v>
      </c>
      <c r="J371" s="688" t="s">
        <v>0</v>
      </c>
      <c r="K371" s="696" t="s">
        <v>445</v>
      </c>
      <c r="L371" s="688" t="s">
        <v>145</v>
      </c>
      <c r="M371" s="688" t="s">
        <v>0</v>
      </c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  <c r="AT371" s="109"/>
      <c r="AU371" s="109"/>
      <c r="AV371" s="109"/>
      <c r="AW371" s="109"/>
      <c r="AX371" s="109"/>
      <c r="AY371" s="109"/>
      <c r="AZ371" s="109"/>
    </row>
    <row r="372" spans="1:52" ht="12.75" x14ac:dyDescent="0.2">
      <c r="B372" s="15" t="s">
        <v>9</v>
      </c>
      <c r="C372" s="5" t="s">
        <v>24</v>
      </c>
      <c r="D372" s="5"/>
      <c r="E372" s="46"/>
      <c r="F372" s="46"/>
      <c r="G372" s="694"/>
      <c r="H372" s="695"/>
      <c r="I372" s="695"/>
      <c r="J372" s="695"/>
      <c r="K372" s="696"/>
      <c r="L372" s="695"/>
      <c r="M372" s="695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  <c r="AT372" s="109"/>
      <c r="AU372" s="109"/>
      <c r="AV372" s="109"/>
      <c r="AW372" s="109"/>
      <c r="AX372" s="109"/>
      <c r="AY372" s="109"/>
      <c r="AZ372" s="109"/>
    </row>
    <row r="373" spans="1:52" ht="12.75" x14ac:dyDescent="0.2">
      <c r="B373" s="15" t="s">
        <v>56</v>
      </c>
      <c r="C373" s="5" t="s">
        <v>28</v>
      </c>
      <c r="D373" s="5"/>
      <c r="E373" s="46"/>
      <c r="F373" s="46"/>
      <c r="G373" s="594">
        <v>-12</v>
      </c>
      <c r="H373" s="13">
        <v>1.22</v>
      </c>
      <c r="I373" s="446">
        <f>SUM(Aksiaalipuhaltimet!Q133)</f>
        <v>0</v>
      </c>
      <c r="J373" s="22">
        <f>SUM(I373*H373)</f>
        <v>0</v>
      </c>
      <c r="K373" s="223">
        <v>-12</v>
      </c>
      <c r="L373" s="181">
        <f>SUM(Aksiaalipuhaltimet!Q143)</f>
        <v>0</v>
      </c>
      <c r="M373" s="55">
        <f>SUM(H373*L373)</f>
        <v>0</v>
      </c>
      <c r="P373" s="80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09"/>
      <c r="AT373" s="109"/>
      <c r="AU373" s="109"/>
      <c r="AV373" s="109"/>
      <c r="AW373" s="109"/>
      <c r="AX373" s="109"/>
      <c r="AY373" s="109"/>
      <c r="AZ373" s="109"/>
    </row>
    <row r="374" spans="1:52" ht="12.75" x14ac:dyDescent="0.2">
      <c r="B374" s="15" t="s">
        <v>57</v>
      </c>
      <c r="C374" s="5" t="s">
        <v>25</v>
      </c>
      <c r="D374" s="5"/>
      <c r="E374" s="46"/>
      <c r="F374" s="46"/>
      <c r="G374" s="594">
        <v>-23</v>
      </c>
      <c r="H374" s="13">
        <v>1.92</v>
      </c>
      <c r="I374" s="446">
        <f>SUM(Aksiaalipuhaltimet!Q134)</f>
        <v>0</v>
      </c>
      <c r="J374" s="22">
        <f>SUM(I374*H374)</f>
        <v>0</v>
      </c>
      <c r="K374" s="182">
        <v>-23</v>
      </c>
      <c r="L374" s="181">
        <f>SUM(Aksiaalipuhaltimet!Q144)</f>
        <v>0</v>
      </c>
      <c r="M374" s="55">
        <f t="shared" ref="M374:M377" si="22">SUM(H374*L374)</f>
        <v>0</v>
      </c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09"/>
      <c r="AT374" s="109"/>
      <c r="AU374" s="109"/>
      <c r="AV374" s="109"/>
      <c r="AW374" s="109"/>
      <c r="AX374" s="109"/>
      <c r="AY374" s="109"/>
      <c r="AZ374" s="109"/>
    </row>
    <row r="375" spans="1:52" ht="12.75" x14ac:dyDescent="0.2">
      <c r="B375" s="15" t="s">
        <v>58</v>
      </c>
      <c r="C375" s="5" t="s">
        <v>128</v>
      </c>
      <c r="D375" s="5"/>
      <c r="E375" s="46"/>
      <c r="F375" s="46"/>
      <c r="G375" s="445">
        <v>-40</v>
      </c>
      <c r="H375" s="22">
        <v>2.44</v>
      </c>
      <c r="I375" s="446">
        <f>SUM(Aksiaalipuhaltimet!Q135)</f>
        <v>0</v>
      </c>
      <c r="J375" s="22">
        <f>SUM(I375*H375)</f>
        <v>0</v>
      </c>
      <c r="K375" s="445">
        <v>-40</v>
      </c>
      <c r="L375" s="181">
        <f>SUM(Aksiaalipuhaltimet!Q145)</f>
        <v>0</v>
      </c>
      <c r="M375" s="55">
        <f t="shared" si="22"/>
        <v>0</v>
      </c>
      <c r="N375" s="83"/>
      <c r="O375" s="83"/>
      <c r="P375" s="83"/>
      <c r="Q375" s="83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9"/>
      <c r="AS375" s="109"/>
      <c r="AT375" s="109"/>
      <c r="AU375" s="109"/>
      <c r="AV375" s="109"/>
      <c r="AW375" s="109"/>
      <c r="AX375" s="109"/>
      <c r="AY375" s="109"/>
      <c r="AZ375" s="109"/>
    </row>
    <row r="376" spans="1:52" ht="12.75" x14ac:dyDescent="0.2">
      <c r="B376" s="15" t="s">
        <v>59</v>
      </c>
      <c r="C376" s="5" t="s">
        <v>46</v>
      </c>
      <c r="D376" s="5"/>
      <c r="E376" s="46"/>
      <c r="F376" s="46"/>
      <c r="G376" s="593" t="s">
        <v>487</v>
      </c>
      <c r="H376" s="22">
        <v>2.88</v>
      </c>
      <c r="I376" s="446">
        <f>SUM(Aksiaalipuhaltimet!Q136)</f>
        <v>0</v>
      </c>
      <c r="J376" s="22">
        <f>SUM(I376*H376)</f>
        <v>0</v>
      </c>
      <c r="K376" s="445">
        <v>-56</v>
      </c>
      <c r="L376" s="181">
        <f>SUM(Aksiaalipuhaltimet!Q146)</f>
        <v>0</v>
      </c>
      <c r="M376" s="55">
        <f t="shared" si="22"/>
        <v>0</v>
      </c>
      <c r="N376" s="83"/>
      <c r="O376" s="83"/>
      <c r="P376" s="83"/>
      <c r="Q376" s="83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9"/>
      <c r="AS376" s="109"/>
      <c r="AT376" s="109"/>
      <c r="AU376" s="109"/>
      <c r="AV376" s="109"/>
      <c r="AW376" s="109"/>
      <c r="AX376" s="109"/>
      <c r="AY376" s="109"/>
      <c r="AZ376" s="109"/>
    </row>
    <row r="377" spans="1:52" ht="12.75" x14ac:dyDescent="0.2">
      <c r="B377" s="15" t="s">
        <v>60</v>
      </c>
      <c r="C377" s="5" t="s">
        <v>26</v>
      </c>
      <c r="D377" s="5"/>
      <c r="E377" s="46"/>
      <c r="F377" s="46"/>
      <c r="G377" s="593">
        <v>-71</v>
      </c>
      <c r="H377" s="22">
        <v>4.28</v>
      </c>
      <c r="I377" s="446">
        <f>SUM(Aksiaalipuhaltimet!Q137)</f>
        <v>0</v>
      </c>
      <c r="J377" s="22">
        <f>SUM(I377*H377)</f>
        <v>0</v>
      </c>
      <c r="K377" s="445">
        <v>-71</v>
      </c>
      <c r="L377" s="181">
        <f>SUM(Aksiaalipuhaltimet!Q147)</f>
        <v>0</v>
      </c>
      <c r="M377" s="55">
        <f t="shared" si="22"/>
        <v>0</v>
      </c>
      <c r="N377" s="83"/>
      <c r="O377" s="83"/>
      <c r="P377" s="83"/>
      <c r="Q377" s="83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9"/>
      <c r="AS377" s="109"/>
      <c r="AT377" s="109"/>
      <c r="AU377" s="109"/>
      <c r="AV377" s="109"/>
      <c r="AW377" s="109"/>
      <c r="AX377" s="109"/>
      <c r="AY377" s="109"/>
      <c r="AZ377" s="109"/>
    </row>
    <row r="378" spans="1:52" ht="13.5" thickBot="1" x14ac:dyDescent="0.25">
      <c r="B378" s="5"/>
      <c r="C378" s="5"/>
      <c r="D378" s="5"/>
      <c r="E378" s="46"/>
      <c r="F378" s="46"/>
      <c r="G378" s="34"/>
      <c r="H378" s="34"/>
      <c r="I378" s="170" t="s">
        <v>0</v>
      </c>
      <c r="J378" s="676">
        <f>SUM(J373:J377)</f>
        <v>0</v>
      </c>
      <c r="K378" s="90"/>
      <c r="L378" s="170" t="s">
        <v>0</v>
      </c>
      <c r="M378" s="676">
        <f>SUM(M373:M377)</f>
        <v>0</v>
      </c>
      <c r="N378" s="83"/>
      <c r="O378" s="83"/>
      <c r="P378" s="83"/>
      <c r="Q378" s="83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9"/>
      <c r="AS378" s="109"/>
      <c r="AT378" s="109"/>
      <c r="AU378" s="109"/>
      <c r="AV378" s="109"/>
      <c r="AW378" s="109"/>
      <c r="AX378" s="109"/>
      <c r="AY378" s="109"/>
      <c r="AZ378" s="109"/>
    </row>
    <row r="379" spans="1:52" ht="33.75" thickBot="1" x14ac:dyDescent="0.5">
      <c r="I379" s="171"/>
      <c r="J379" s="171"/>
      <c r="L379" s="171"/>
      <c r="M379" s="171"/>
      <c r="N379" s="746"/>
      <c r="O379" s="746"/>
      <c r="P379" s="90" t="s">
        <v>207</v>
      </c>
      <c r="Q379" s="184" t="s">
        <v>0</v>
      </c>
      <c r="R379" s="681">
        <f>SUM(E365+H365+K365+N365+Q365+J378+M378)</f>
        <v>0</v>
      </c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9"/>
      <c r="AS379" s="109"/>
      <c r="AT379" s="109"/>
      <c r="AU379" s="109"/>
      <c r="AV379" s="109"/>
      <c r="AW379" s="109"/>
      <c r="AX379" s="109"/>
      <c r="AY379" s="109"/>
      <c r="AZ379" s="109"/>
    </row>
    <row r="380" spans="1:52" ht="39.75" customHeight="1" x14ac:dyDescent="0.45"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  <c r="AL380" s="109"/>
      <c r="AM380" s="109"/>
      <c r="AN380" s="109"/>
      <c r="AO380" s="109"/>
      <c r="AP380" s="109"/>
      <c r="AQ380" s="109"/>
      <c r="AR380" s="109"/>
      <c r="AS380" s="109"/>
      <c r="AT380" s="109"/>
      <c r="AU380" s="109"/>
      <c r="AV380" s="109"/>
      <c r="AW380" s="109"/>
      <c r="AX380" s="109"/>
      <c r="AY380" s="109"/>
      <c r="AZ380" s="109"/>
    </row>
    <row r="381" spans="1:52" ht="1.5" hidden="1" customHeight="1" x14ac:dyDescent="0.45">
      <c r="S381" s="31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9"/>
      <c r="AS381" s="109"/>
      <c r="AT381" s="109"/>
      <c r="AU381" s="109"/>
      <c r="AV381" s="109"/>
      <c r="AW381" s="109"/>
      <c r="AX381" s="109"/>
      <c r="AY381" s="109"/>
      <c r="AZ381" s="109"/>
    </row>
    <row r="382" spans="1:52" ht="33.75" customHeight="1" x14ac:dyDescent="0.45">
      <c r="A382" s="35" t="s">
        <v>502</v>
      </c>
      <c r="H382" s="401"/>
      <c r="I382" s="35" t="s">
        <v>479</v>
      </c>
      <c r="M382" s="324" t="s">
        <v>221</v>
      </c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9"/>
      <c r="AS382" s="109"/>
      <c r="AT382" s="109"/>
      <c r="AU382" s="109"/>
      <c r="AV382" s="109"/>
      <c r="AW382" s="109"/>
      <c r="AX382" s="109"/>
      <c r="AY382" s="109"/>
      <c r="AZ382" s="109"/>
    </row>
    <row r="383" spans="1:52" ht="24" customHeight="1" x14ac:dyDescent="0.45">
      <c r="A383" s="595" t="s">
        <v>489</v>
      </c>
      <c r="I383" s="59"/>
      <c r="J383" s="59"/>
      <c r="R383" s="574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9"/>
      <c r="AS383" s="109"/>
      <c r="AT383" s="109"/>
      <c r="AU383" s="109"/>
      <c r="AV383" s="109"/>
      <c r="AW383" s="109"/>
      <c r="AX383" s="109"/>
      <c r="AY383" s="109"/>
      <c r="AZ383" s="109"/>
    </row>
    <row r="384" spans="1:52" ht="15.75" customHeight="1" x14ac:dyDescent="0.2">
      <c r="A384" s="80" t="s">
        <v>225</v>
      </c>
      <c r="F384" s="25" t="s">
        <v>224</v>
      </c>
      <c r="G384" s="75">
        <v>0.1</v>
      </c>
      <c r="I384" s="59" t="s">
        <v>463</v>
      </c>
      <c r="Q384" s="74" t="s">
        <v>224</v>
      </c>
      <c r="R384" s="73">
        <v>0.2</v>
      </c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9"/>
      <c r="AS384" s="109"/>
      <c r="AT384" s="109"/>
      <c r="AU384" s="109"/>
      <c r="AV384" s="109"/>
      <c r="AW384" s="109"/>
      <c r="AX384" s="109"/>
      <c r="AY384" s="109"/>
      <c r="AZ384" s="109"/>
    </row>
    <row r="385" spans="1:52" ht="15.75" customHeight="1" x14ac:dyDescent="0.2">
      <c r="A385" s="80" t="s">
        <v>230</v>
      </c>
      <c r="G385" s="76"/>
      <c r="I385" s="59" t="s">
        <v>222</v>
      </c>
      <c r="J385" s="59"/>
      <c r="K385" s="59"/>
      <c r="L385" s="59"/>
      <c r="Q385" s="74" t="s">
        <v>224</v>
      </c>
      <c r="R385" s="73">
        <v>0.3</v>
      </c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  <c r="AT385" s="109"/>
      <c r="AU385" s="109"/>
      <c r="AV385" s="109"/>
      <c r="AW385" s="109"/>
      <c r="AX385" s="109"/>
      <c r="AY385" s="109"/>
      <c r="AZ385" s="109"/>
    </row>
    <row r="386" spans="1:52" ht="15.75" customHeight="1" x14ac:dyDescent="0.2">
      <c r="A386" s="5" t="s">
        <v>231</v>
      </c>
      <c r="F386" s="25" t="s">
        <v>224</v>
      </c>
      <c r="G386" s="75">
        <v>0.16</v>
      </c>
      <c r="I386" s="5" t="s">
        <v>408</v>
      </c>
      <c r="P386" s="80" t="s">
        <v>467</v>
      </c>
      <c r="Q386" s="74" t="s">
        <v>224</v>
      </c>
      <c r="R386" s="73">
        <v>0.5</v>
      </c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  <c r="AT386" s="109"/>
      <c r="AU386" s="109"/>
      <c r="AV386" s="109"/>
      <c r="AW386" s="109"/>
      <c r="AX386" s="109"/>
      <c r="AY386" s="109"/>
      <c r="AZ386" s="109"/>
    </row>
    <row r="387" spans="1:52" ht="15.75" customHeight="1" x14ac:dyDescent="0.2">
      <c r="A387" s="80" t="s">
        <v>226</v>
      </c>
      <c r="F387" s="25" t="s">
        <v>224</v>
      </c>
      <c r="G387" s="75">
        <v>0.2</v>
      </c>
      <c r="I387" s="5" t="s">
        <v>408</v>
      </c>
      <c r="P387" s="80" t="s">
        <v>466</v>
      </c>
      <c r="Q387" s="74" t="s">
        <v>224</v>
      </c>
      <c r="R387" s="73">
        <v>0.25</v>
      </c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  <c r="AT387" s="109"/>
      <c r="AU387" s="109"/>
      <c r="AV387" s="109"/>
      <c r="AW387" s="109"/>
      <c r="AX387" s="109"/>
      <c r="AY387" s="109"/>
      <c r="AZ387" s="109"/>
    </row>
    <row r="388" spans="1:52" ht="15.75" customHeight="1" x14ac:dyDescent="0.2">
      <c r="A388" s="59" t="s">
        <v>490</v>
      </c>
      <c r="B388" s="5"/>
      <c r="F388" s="25"/>
      <c r="G388" s="75"/>
      <c r="H388" s="15"/>
      <c r="I388" s="80" t="s">
        <v>223</v>
      </c>
      <c r="P388" s="80" t="s">
        <v>464</v>
      </c>
      <c r="Q388" s="74" t="s">
        <v>224</v>
      </c>
      <c r="R388" s="73">
        <v>0.25</v>
      </c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  <c r="AT388" s="109"/>
      <c r="AU388" s="109"/>
      <c r="AV388" s="109"/>
      <c r="AW388" s="109"/>
      <c r="AX388" s="109"/>
      <c r="AY388" s="109"/>
      <c r="AZ388" s="109"/>
    </row>
    <row r="389" spans="1:52" ht="16.5" customHeight="1" x14ac:dyDescent="0.2">
      <c r="A389" s="80" t="s">
        <v>492</v>
      </c>
      <c r="B389" s="5"/>
      <c r="F389" s="96" t="s">
        <v>224</v>
      </c>
      <c r="G389" s="75">
        <v>0.15</v>
      </c>
      <c r="H389" s="15"/>
      <c r="I389" s="5" t="s">
        <v>223</v>
      </c>
      <c r="P389" s="80" t="s">
        <v>465</v>
      </c>
      <c r="Q389" s="74" t="s">
        <v>224</v>
      </c>
      <c r="R389" s="73">
        <v>0.5</v>
      </c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  <c r="AT389" s="109"/>
      <c r="AU389" s="109"/>
      <c r="AV389" s="109"/>
      <c r="AW389" s="109"/>
      <c r="AX389" s="109"/>
      <c r="AY389" s="109"/>
      <c r="AZ389" s="109"/>
    </row>
    <row r="390" spans="1:52" ht="15.75" customHeight="1" x14ac:dyDescent="0.2">
      <c r="A390" s="80" t="s">
        <v>491</v>
      </c>
      <c r="F390" s="96" t="s">
        <v>224</v>
      </c>
      <c r="G390" s="596">
        <v>0.3</v>
      </c>
      <c r="H390" s="15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  <c r="AT390" s="109"/>
      <c r="AU390" s="109"/>
      <c r="AV390" s="109"/>
      <c r="AW390" s="109"/>
      <c r="AX390" s="109"/>
      <c r="AY390" s="109"/>
      <c r="AZ390" s="109"/>
    </row>
    <row r="391" spans="1:52" ht="15.75" customHeight="1" x14ac:dyDescent="0.45">
      <c r="A391" s="35"/>
      <c r="H391" s="15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</row>
    <row r="392" spans="1:52" ht="21" customHeight="1" x14ac:dyDescent="0.45">
      <c r="E392" s="5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  <c r="AT392" s="109"/>
      <c r="AU392" s="109"/>
      <c r="AV392" s="109"/>
      <c r="AW392" s="109"/>
      <c r="AX392" s="109"/>
      <c r="AY392" s="109"/>
      <c r="AZ392" s="109"/>
    </row>
    <row r="393" spans="1:52" ht="12.75" x14ac:dyDescent="0.2">
      <c r="A393" s="59" t="s">
        <v>381</v>
      </c>
      <c r="G393" s="4" t="s">
        <v>211</v>
      </c>
      <c r="H393" s="82" t="s">
        <v>210</v>
      </c>
      <c r="I393" s="16" t="s">
        <v>237</v>
      </c>
      <c r="J393" s="16" t="s">
        <v>0</v>
      </c>
      <c r="K393" s="149" t="s">
        <v>381</v>
      </c>
      <c r="L393" s="17"/>
      <c r="M393" s="17"/>
      <c r="N393" s="17"/>
      <c r="P393" s="81" t="s">
        <v>211</v>
      </c>
      <c r="Q393" s="16" t="s">
        <v>212</v>
      </c>
      <c r="R393" s="16" t="s">
        <v>377</v>
      </c>
      <c r="S393" s="15" t="s">
        <v>0</v>
      </c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  <c r="AT393" s="109"/>
      <c r="AU393" s="109"/>
      <c r="AV393" s="109"/>
      <c r="AW393" s="109"/>
      <c r="AX393" s="109"/>
      <c r="AY393" s="109"/>
      <c r="AZ393" s="109"/>
    </row>
    <row r="394" spans="1:52" ht="12.75" x14ac:dyDescent="0.2">
      <c r="A394" s="743"/>
      <c r="B394" s="744"/>
      <c r="C394" s="744"/>
      <c r="D394" s="744"/>
      <c r="E394" s="744"/>
      <c r="F394" s="745"/>
      <c r="G394" s="419"/>
      <c r="H394" s="330"/>
      <c r="I394" s="363">
        <v>0</v>
      </c>
      <c r="J394" s="329">
        <f>SUM(G394*H394*I394%)</f>
        <v>0</v>
      </c>
      <c r="K394" s="739"/>
      <c r="L394" s="740"/>
      <c r="M394" s="740"/>
      <c r="N394" s="740"/>
      <c r="O394" s="741"/>
      <c r="P394" s="420"/>
      <c r="Q394" s="336"/>
      <c r="R394" s="402">
        <v>0</v>
      </c>
      <c r="S394" s="97">
        <f>SUM(P394*Q394*R394%)</f>
        <v>0</v>
      </c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  <c r="AT394" s="109"/>
      <c r="AU394" s="109"/>
      <c r="AV394" s="109"/>
      <c r="AW394" s="109"/>
      <c r="AX394" s="109"/>
      <c r="AY394" s="109"/>
      <c r="AZ394" s="109"/>
    </row>
    <row r="395" spans="1:52" ht="12.75" x14ac:dyDescent="0.2">
      <c r="A395" s="743"/>
      <c r="B395" s="744"/>
      <c r="C395" s="744"/>
      <c r="D395" s="744"/>
      <c r="E395" s="744"/>
      <c r="F395" s="745"/>
      <c r="G395" s="419"/>
      <c r="H395" s="331"/>
      <c r="I395" s="364">
        <v>0</v>
      </c>
      <c r="J395" s="97">
        <f>SUM(G395*H395*I395%)</f>
        <v>0</v>
      </c>
      <c r="K395" s="739"/>
      <c r="L395" s="740"/>
      <c r="M395" s="740"/>
      <c r="N395" s="740"/>
      <c r="O395" s="741"/>
      <c r="P395" s="421"/>
      <c r="Q395" s="332"/>
      <c r="R395" s="403">
        <v>0</v>
      </c>
      <c r="S395" s="97">
        <f>SUM(P395*Q395*R395%)</f>
        <v>0</v>
      </c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  <c r="AT395" s="109"/>
      <c r="AU395" s="109"/>
      <c r="AV395" s="109"/>
      <c r="AW395" s="109"/>
      <c r="AX395" s="109"/>
      <c r="AY395" s="109"/>
      <c r="AZ395" s="109"/>
    </row>
    <row r="396" spans="1:52" ht="12.75" x14ac:dyDescent="0.2">
      <c r="A396" s="743"/>
      <c r="B396" s="744"/>
      <c r="C396" s="744"/>
      <c r="D396" s="744"/>
      <c r="E396" s="744"/>
      <c r="F396" s="745"/>
      <c r="G396" s="419"/>
      <c r="H396" s="331"/>
      <c r="I396" s="364">
        <v>0</v>
      </c>
      <c r="J396" s="329">
        <f>SUM(G396*H396*I396%)</f>
        <v>0</v>
      </c>
      <c r="K396" s="739"/>
      <c r="L396" s="740"/>
      <c r="M396" s="740"/>
      <c r="N396" s="740"/>
      <c r="O396" s="741"/>
      <c r="P396" s="422"/>
      <c r="Q396" s="332"/>
      <c r="R396" s="403">
        <v>0</v>
      </c>
      <c r="S396" s="97">
        <f t="shared" ref="S396:S410" si="23">SUM(P396*Q396*R396%)</f>
        <v>0</v>
      </c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  <c r="AT396" s="109"/>
      <c r="AU396" s="109"/>
      <c r="AV396" s="109"/>
      <c r="AW396" s="109"/>
      <c r="AX396" s="109"/>
      <c r="AY396" s="109"/>
      <c r="AZ396" s="109"/>
    </row>
    <row r="397" spans="1:52" ht="12.75" x14ac:dyDescent="0.2">
      <c r="A397" s="743"/>
      <c r="B397" s="744"/>
      <c r="C397" s="744"/>
      <c r="D397" s="744"/>
      <c r="E397" s="744"/>
      <c r="F397" s="745"/>
      <c r="G397" s="419"/>
      <c r="H397" s="331"/>
      <c r="I397" s="364">
        <v>0</v>
      </c>
      <c r="J397" s="97">
        <f t="shared" ref="J397:J409" si="24">SUM(G397*H397*I397%)</f>
        <v>0</v>
      </c>
      <c r="K397" s="739"/>
      <c r="L397" s="740"/>
      <c r="M397" s="740"/>
      <c r="N397" s="740"/>
      <c r="O397" s="741"/>
      <c r="P397" s="421"/>
      <c r="Q397" s="332"/>
      <c r="R397" s="403">
        <v>0</v>
      </c>
      <c r="S397" s="97">
        <f t="shared" si="23"/>
        <v>0</v>
      </c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9"/>
      <c r="AS397" s="109"/>
      <c r="AT397" s="109"/>
      <c r="AU397" s="109"/>
      <c r="AV397" s="109"/>
      <c r="AW397" s="109"/>
      <c r="AX397" s="109"/>
      <c r="AY397" s="109"/>
      <c r="AZ397" s="109"/>
    </row>
    <row r="398" spans="1:52" ht="12.75" x14ac:dyDescent="0.2">
      <c r="A398" s="743"/>
      <c r="B398" s="744"/>
      <c r="C398" s="744"/>
      <c r="D398" s="744"/>
      <c r="E398" s="744"/>
      <c r="F398" s="745"/>
      <c r="G398" s="419"/>
      <c r="H398" s="331"/>
      <c r="I398" s="364">
        <v>0</v>
      </c>
      <c r="J398" s="329">
        <f t="shared" si="24"/>
        <v>0</v>
      </c>
      <c r="K398" s="739"/>
      <c r="L398" s="740"/>
      <c r="M398" s="740"/>
      <c r="N398" s="740"/>
      <c r="O398" s="741"/>
      <c r="P398" s="422"/>
      <c r="Q398" s="332"/>
      <c r="R398" s="403">
        <v>0</v>
      </c>
      <c r="S398" s="97">
        <f t="shared" si="23"/>
        <v>0</v>
      </c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09"/>
      <c r="AT398" s="109"/>
      <c r="AU398" s="109"/>
      <c r="AV398" s="109"/>
      <c r="AW398" s="109"/>
      <c r="AX398" s="109"/>
      <c r="AY398" s="109"/>
      <c r="AZ398" s="109"/>
    </row>
    <row r="399" spans="1:52" ht="12.75" x14ac:dyDescent="0.2">
      <c r="A399" s="743"/>
      <c r="B399" s="744"/>
      <c r="C399" s="744"/>
      <c r="D399" s="744"/>
      <c r="E399" s="744"/>
      <c r="F399" s="745"/>
      <c r="G399" s="419"/>
      <c r="H399" s="331"/>
      <c r="I399" s="364">
        <v>0</v>
      </c>
      <c r="J399" s="97">
        <f t="shared" si="24"/>
        <v>0</v>
      </c>
      <c r="K399" s="739"/>
      <c r="L399" s="740"/>
      <c r="M399" s="740"/>
      <c r="N399" s="740"/>
      <c r="O399" s="741"/>
      <c r="P399" s="421"/>
      <c r="Q399" s="332"/>
      <c r="R399" s="403">
        <v>0</v>
      </c>
      <c r="S399" s="97">
        <f t="shared" si="23"/>
        <v>0</v>
      </c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09"/>
      <c r="AT399" s="109"/>
      <c r="AU399" s="109"/>
      <c r="AV399" s="109"/>
      <c r="AW399" s="109"/>
      <c r="AX399" s="109"/>
      <c r="AY399" s="109"/>
      <c r="AZ399" s="109"/>
    </row>
    <row r="400" spans="1:52" ht="12.75" x14ac:dyDescent="0.2">
      <c r="A400" s="743"/>
      <c r="B400" s="744"/>
      <c r="C400" s="744"/>
      <c r="D400" s="744"/>
      <c r="E400" s="744"/>
      <c r="F400" s="745"/>
      <c r="G400" s="419"/>
      <c r="H400" s="331"/>
      <c r="I400" s="364">
        <v>0</v>
      </c>
      <c r="J400" s="329">
        <f t="shared" si="24"/>
        <v>0</v>
      </c>
      <c r="K400" s="739"/>
      <c r="L400" s="740"/>
      <c r="M400" s="740"/>
      <c r="N400" s="740"/>
      <c r="O400" s="741"/>
      <c r="P400" s="422"/>
      <c r="Q400" s="332"/>
      <c r="R400" s="403">
        <v>0</v>
      </c>
      <c r="S400" s="97">
        <f t="shared" si="23"/>
        <v>0</v>
      </c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09"/>
      <c r="AT400" s="109"/>
      <c r="AU400" s="109"/>
      <c r="AV400" s="109"/>
      <c r="AW400" s="109"/>
      <c r="AX400" s="109"/>
      <c r="AY400" s="109"/>
      <c r="AZ400" s="109"/>
    </row>
    <row r="401" spans="1:52" ht="12.75" x14ac:dyDescent="0.2">
      <c r="A401" s="743"/>
      <c r="B401" s="744"/>
      <c r="C401" s="744"/>
      <c r="D401" s="744"/>
      <c r="E401" s="744"/>
      <c r="F401" s="745"/>
      <c r="G401" s="419"/>
      <c r="H401" s="331"/>
      <c r="I401" s="364">
        <v>0</v>
      </c>
      <c r="J401" s="97">
        <f t="shared" si="24"/>
        <v>0</v>
      </c>
      <c r="K401" s="739"/>
      <c r="L401" s="740"/>
      <c r="M401" s="740"/>
      <c r="N401" s="740"/>
      <c r="O401" s="741"/>
      <c r="P401" s="421"/>
      <c r="Q401" s="332"/>
      <c r="R401" s="403">
        <v>0</v>
      </c>
      <c r="S401" s="97">
        <f t="shared" si="23"/>
        <v>0</v>
      </c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09"/>
      <c r="AT401" s="109"/>
      <c r="AU401" s="109"/>
      <c r="AV401" s="109"/>
      <c r="AW401" s="109"/>
      <c r="AX401" s="109"/>
      <c r="AY401" s="109"/>
      <c r="AZ401" s="109"/>
    </row>
    <row r="402" spans="1:52" ht="12.75" x14ac:dyDescent="0.2">
      <c r="A402" s="743"/>
      <c r="B402" s="744"/>
      <c r="C402" s="744"/>
      <c r="D402" s="744"/>
      <c r="E402" s="744"/>
      <c r="F402" s="745"/>
      <c r="G402" s="419"/>
      <c r="H402" s="331"/>
      <c r="I402" s="364">
        <v>0</v>
      </c>
      <c r="J402" s="329">
        <f t="shared" si="24"/>
        <v>0</v>
      </c>
      <c r="K402" s="739"/>
      <c r="L402" s="740"/>
      <c r="M402" s="740"/>
      <c r="N402" s="740"/>
      <c r="O402" s="741"/>
      <c r="P402" s="422"/>
      <c r="Q402" s="332"/>
      <c r="R402" s="403">
        <v>0</v>
      </c>
      <c r="S402" s="97">
        <f t="shared" si="23"/>
        <v>0</v>
      </c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09"/>
      <c r="AT402" s="109"/>
      <c r="AU402" s="109"/>
      <c r="AV402" s="109"/>
      <c r="AW402" s="109"/>
      <c r="AX402" s="109"/>
      <c r="AY402" s="109"/>
      <c r="AZ402" s="109"/>
    </row>
    <row r="403" spans="1:52" ht="12.75" x14ac:dyDescent="0.2">
      <c r="A403" s="743"/>
      <c r="B403" s="744"/>
      <c r="C403" s="744"/>
      <c r="D403" s="744"/>
      <c r="E403" s="744"/>
      <c r="F403" s="745"/>
      <c r="G403" s="419"/>
      <c r="H403" s="331"/>
      <c r="I403" s="364">
        <v>0</v>
      </c>
      <c r="J403" s="97">
        <f t="shared" si="24"/>
        <v>0</v>
      </c>
      <c r="K403" s="739"/>
      <c r="L403" s="740"/>
      <c r="M403" s="740"/>
      <c r="N403" s="740"/>
      <c r="O403" s="741"/>
      <c r="P403" s="421"/>
      <c r="Q403" s="332"/>
      <c r="R403" s="403">
        <v>0</v>
      </c>
      <c r="S403" s="97">
        <f t="shared" si="23"/>
        <v>0</v>
      </c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9"/>
      <c r="AS403" s="109"/>
      <c r="AT403" s="109"/>
      <c r="AU403" s="109"/>
      <c r="AV403" s="109"/>
      <c r="AW403" s="109"/>
      <c r="AX403" s="109"/>
      <c r="AY403" s="109"/>
      <c r="AZ403" s="109"/>
    </row>
    <row r="404" spans="1:52" ht="12.75" x14ac:dyDescent="0.2">
      <c r="A404" s="743"/>
      <c r="B404" s="744"/>
      <c r="C404" s="744"/>
      <c r="D404" s="744"/>
      <c r="E404" s="744"/>
      <c r="F404" s="745"/>
      <c r="G404" s="419"/>
      <c r="H404" s="331"/>
      <c r="I404" s="364">
        <v>0</v>
      </c>
      <c r="J404" s="329">
        <f t="shared" si="24"/>
        <v>0</v>
      </c>
      <c r="K404" s="739"/>
      <c r="L404" s="740"/>
      <c r="M404" s="740"/>
      <c r="N404" s="740"/>
      <c r="O404" s="741"/>
      <c r="P404" s="422"/>
      <c r="Q404" s="332"/>
      <c r="R404" s="403">
        <v>0</v>
      </c>
      <c r="S404" s="97">
        <f t="shared" si="23"/>
        <v>0</v>
      </c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9"/>
      <c r="AS404" s="109"/>
      <c r="AT404" s="109"/>
      <c r="AU404" s="109"/>
      <c r="AV404" s="109"/>
      <c r="AW404" s="109"/>
      <c r="AX404" s="109"/>
      <c r="AY404" s="109"/>
      <c r="AZ404" s="109"/>
    </row>
    <row r="405" spans="1:52" ht="12.75" x14ac:dyDescent="0.2">
      <c r="A405" s="743"/>
      <c r="B405" s="744"/>
      <c r="C405" s="744"/>
      <c r="D405" s="744"/>
      <c r="E405" s="744"/>
      <c r="F405" s="745"/>
      <c r="G405" s="419"/>
      <c r="H405" s="331"/>
      <c r="I405" s="364">
        <v>0</v>
      </c>
      <c r="J405" s="97">
        <f t="shared" si="24"/>
        <v>0</v>
      </c>
      <c r="K405" s="739"/>
      <c r="L405" s="740"/>
      <c r="M405" s="740"/>
      <c r="N405" s="740"/>
      <c r="O405" s="741"/>
      <c r="P405" s="421"/>
      <c r="Q405" s="332"/>
      <c r="R405" s="403">
        <v>0</v>
      </c>
      <c r="S405" s="97">
        <f t="shared" si="23"/>
        <v>0</v>
      </c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9"/>
      <c r="AS405" s="109"/>
      <c r="AT405" s="109"/>
      <c r="AU405" s="109"/>
      <c r="AV405" s="109"/>
      <c r="AW405" s="109"/>
      <c r="AX405" s="109"/>
      <c r="AY405" s="109"/>
      <c r="AZ405" s="109"/>
    </row>
    <row r="406" spans="1:52" ht="12.75" x14ac:dyDescent="0.2">
      <c r="A406" s="743"/>
      <c r="B406" s="744"/>
      <c r="C406" s="744"/>
      <c r="D406" s="744"/>
      <c r="E406" s="744"/>
      <c r="F406" s="745"/>
      <c r="G406" s="419"/>
      <c r="H406" s="331"/>
      <c r="I406" s="364">
        <v>0</v>
      </c>
      <c r="J406" s="329">
        <f t="shared" si="24"/>
        <v>0</v>
      </c>
      <c r="K406" s="739"/>
      <c r="L406" s="740"/>
      <c r="M406" s="740"/>
      <c r="N406" s="740"/>
      <c r="O406" s="741"/>
      <c r="P406" s="422"/>
      <c r="Q406" s="332"/>
      <c r="R406" s="403">
        <v>0</v>
      </c>
      <c r="S406" s="97">
        <f t="shared" si="23"/>
        <v>0</v>
      </c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  <c r="AT406" s="109"/>
      <c r="AU406" s="109"/>
      <c r="AV406" s="109"/>
      <c r="AW406" s="109"/>
      <c r="AX406" s="109"/>
      <c r="AY406" s="109"/>
      <c r="AZ406" s="109"/>
    </row>
    <row r="407" spans="1:52" ht="12.75" x14ac:dyDescent="0.2">
      <c r="A407" s="743"/>
      <c r="B407" s="744"/>
      <c r="C407" s="744"/>
      <c r="D407" s="744"/>
      <c r="E407" s="744"/>
      <c r="F407" s="745"/>
      <c r="G407" s="419"/>
      <c r="H407" s="331"/>
      <c r="I407" s="364">
        <v>0</v>
      </c>
      <c r="J407" s="97">
        <f t="shared" si="24"/>
        <v>0</v>
      </c>
      <c r="K407" s="739"/>
      <c r="L407" s="740"/>
      <c r="M407" s="740"/>
      <c r="N407" s="740"/>
      <c r="O407" s="741"/>
      <c r="P407" s="421"/>
      <c r="Q407" s="332"/>
      <c r="R407" s="403">
        <v>0</v>
      </c>
      <c r="S407" s="97">
        <f t="shared" si="23"/>
        <v>0</v>
      </c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9"/>
      <c r="AS407" s="109"/>
      <c r="AT407" s="109"/>
      <c r="AU407" s="109"/>
      <c r="AV407" s="109"/>
      <c r="AW407" s="109"/>
      <c r="AX407" s="109"/>
      <c r="AY407" s="109"/>
      <c r="AZ407" s="109"/>
    </row>
    <row r="408" spans="1:52" ht="12.75" x14ac:dyDescent="0.2">
      <c r="A408" s="743"/>
      <c r="B408" s="744"/>
      <c r="C408" s="744"/>
      <c r="D408" s="744"/>
      <c r="E408" s="744"/>
      <c r="F408" s="745"/>
      <c r="G408" s="419"/>
      <c r="H408" s="331"/>
      <c r="I408" s="364">
        <v>0</v>
      </c>
      <c r="J408" s="329">
        <f t="shared" si="24"/>
        <v>0</v>
      </c>
      <c r="K408" s="739"/>
      <c r="L408" s="740"/>
      <c r="M408" s="740"/>
      <c r="N408" s="740"/>
      <c r="O408" s="741"/>
      <c r="P408" s="422"/>
      <c r="Q408" s="332"/>
      <c r="R408" s="403">
        <v>0</v>
      </c>
      <c r="S408" s="97">
        <f t="shared" si="23"/>
        <v>0</v>
      </c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9"/>
      <c r="AS408" s="109"/>
      <c r="AT408" s="109"/>
      <c r="AU408" s="109"/>
      <c r="AV408" s="109"/>
      <c r="AW408" s="109"/>
      <c r="AX408" s="109"/>
      <c r="AY408" s="109"/>
      <c r="AZ408" s="109"/>
    </row>
    <row r="409" spans="1:52" ht="12.75" x14ac:dyDescent="0.2">
      <c r="A409" s="743"/>
      <c r="B409" s="744"/>
      <c r="C409" s="744"/>
      <c r="D409" s="744"/>
      <c r="E409" s="744"/>
      <c r="F409" s="745"/>
      <c r="G409" s="419"/>
      <c r="H409" s="331"/>
      <c r="I409" s="364">
        <v>0</v>
      </c>
      <c r="J409" s="97">
        <f t="shared" si="24"/>
        <v>0</v>
      </c>
      <c r="K409" s="739"/>
      <c r="L409" s="740"/>
      <c r="M409" s="740"/>
      <c r="N409" s="740"/>
      <c r="O409" s="741"/>
      <c r="P409" s="421"/>
      <c r="Q409" s="332"/>
      <c r="R409" s="403">
        <v>0</v>
      </c>
      <c r="S409" s="97">
        <f t="shared" si="23"/>
        <v>0</v>
      </c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  <c r="AT409" s="109"/>
      <c r="AU409" s="109"/>
      <c r="AV409" s="109"/>
      <c r="AW409" s="109"/>
      <c r="AX409" s="109"/>
      <c r="AY409" s="109"/>
      <c r="AZ409" s="109"/>
    </row>
    <row r="410" spans="1:52" ht="12.75" x14ac:dyDescent="0.2">
      <c r="A410" s="743"/>
      <c r="B410" s="744"/>
      <c r="C410" s="744"/>
      <c r="D410" s="744"/>
      <c r="E410" s="744"/>
      <c r="F410" s="745"/>
      <c r="G410" s="419"/>
      <c r="H410" s="331"/>
      <c r="I410" s="364">
        <v>0</v>
      </c>
      <c r="J410" s="329">
        <f>SUM(G410*H410*I410%)</f>
        <v>0</v>
      </c>
      <c r="K410" s="739"/>
      <c r="L410" s="740"/>
      <c r="M410" s="740"/>
      <c r="N410" s="740"/>
      <c r="O410" s="741"/>
      <c r="P410" s="423"/>
      <c r="Q410" s="332"/>
      <c r="R410" s="403">
        <v>0</v>
      </c>
      <c r="S410" s="97">
        <f t="shared" si="23"/>
        <v>0</v>
      </c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  <c r="AT410" s="109"/>
      <c r="AU410" s="109"/>
      <c r="AV410" s="109"/>
      <c r="AW410" s="109"/>
      <c r="AX410" s="109"/>
      <c r="AY410" s="109"/>
      <c r="AZ410" s="109"/>
    </row>
    <row r="411" spans="1:52" ht="20.25" customHeight="1" thickBot="1" x14ac:dyDescent="0.5">
      <c r="H411" s="15"/>
      <c r="I411" s="89" t="s">
        <v>0</v>
      </c>
      <c r="J411" s="677">
        <f>SUM(J394:J410)</f>
        <v>0</v>
      </c>
      <c r="K411" s="89"/>
      <c r="L411" s="89"/>
      <c r="M411" s="89"/>
      <c r="N411" s="89"/>
      <c r="O411" s="89"/>
      <c r="P411" s="89"/>
      <c r="Q411" s="89"/>
      <c r="R411" s="89" t="s">
        <v>0</v>
      </c>
      <c r="S411" s="677">
        <f>SUM(S394:S410)</f>
        <v>0</v>
      </c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  <c r="AT411" s="109"/>
      <c r="AU411" s="109"/>
      <c r="AV411" s="109"/>
      <c r="AW411" s="109"/>
      <c r="AX411" s="109"/>
      <c r="AY411" s="109"/>
      <c r="AZ411" s="109"/>
    </row>
    <row r="412" spans="1:52" ht="31.5" customHeight="1" thickBot="1" x14ac:dyDescent="0.5">
      <c r="H412" s="15"/>
      <c r="I412" s="15"/>
      <c r="M412" s="59"/>
      <c r="N412" s="59"/>
      <c r="O412" s="88" t="s">
        <v>238</v>
      </c>
      <c r="P412" s="89" t="s">
        <v>207</v>
      </c>
      <c r="Q412" s="89" t="s">
        <v>0</v>
      </c>
      <c r="R412" s="657">
        <f>SUM(J411+S411)</f>
        <v>0</v>
      </c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  <c r="AV412" s="109"/>
      <c r="AW412" s="109"/>
      <c r="AX412" s="109"/>
      <c r="AY412" s="109"/>
      <c r="AZ412" s="109"/>
    </row>
    <row r="413" spans="1:52" ht="31.5" customHeight="1" x14ac:dyDescent="0.45">
      <c r="H413" s="15"/>
      <c r="I413" s="15"/>
      <c r="M413" s="59"/>
      <c r="N413" s="59"/>
      <c r="O413" s="88"/>
      <c r="P413" s="89"/>
      <c r="Q413" s="89"/>
      <c r="R413" s="527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  <c r="AT413" s="109"/>
      <c r="AU413" s="109"/>
      <c r="AV413" s="109"/>
      <c r="AW413" s="109"/>
      <c r="AX413" s="109"/>
      <c r="AY413" s="109"/>
      <c r="AZ413" s="109"/>
    </row>
    <row r="414" spans="1:52" ht="31.5" customHeight="1" x14ac:dyDescent="0.45">
      <c r="H414" s="15"/>
      <c r="I414" s="15"/>
      <c r="M414" s="59"/>
      <c r="N414" s="59"/>
      <c r="O414" s="88"/>
      <c r="P414" s="89"/>
      <c r="Q414" s="89"/>
      <c r="R414" s="527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  <c r="AT414" s="109"/>
      <c r="AU414" s="109"/>
      <c r="AV414" s="109"/>
      <c r="AW414" s="109"/>
      <c r="AX414" s="109"/>
      <c r="AY414" s="109"/>
      <c r="AZ414" s="109"/>
    </row>
    <row r="415" spans="1:52" ht="12.75" customHeight="1" x14ac:dyDescent="0.45">
      <c r="H415" s="15"/>
      <c r="I415" s="15"/>
      <c r="M415" s="59"/>
      <c r="N415" s="59"/>
      <c r="O415" s="88"/>
      <c r="P415" s="89"/>
      <c r="Q415" s="89"/>
      <c r="R415" s="527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  <c r="AT415" s="109"/>
      <c r="AU415" s="109"/>
      <c r="AV415" s="109"/>
      <c r="AW415" s="109"/>
      <c r="AX415" s="109"/>
      <c r="AY415" s="109"/>
      <c r="AZ415" s="109"/>
    </row>
    <row r="416" spans="1:52" ht="12.75" customHeight="1" x14ac:dyDescent="0.45">
      <c r="J416" s="324" t="s">
        <v>221</v>
      </c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  <c r="AT416" s="109"/>
      <c r="AU416" s="109"/>
      <c r="AV416" s="109"/>
      <c r="AW416" s="109"/>
      <c r="AX416" s="109"/>
      <c r="AY416" s="109"/>
      <c r="AZ416" s="109"/>
    </row>
    <row r="417" spans="1:52" ht="12.75" customHeight="1" x14ac:dyDescent="0.2">
      <c r="A417" s="638" t="s">
        <v>381</v>
      </c>
      <c r="B417" s="24"/>
      <c r="C417" s="24"/>
      <c r="D417" s="24"/>
      <c r="E417" s="24"/>
      <c r="F417" s="24"/>
      <c r="G417" s="1" t="s">
        <v>211</v>
      </c>
      <c r="H417" s="636" t="s">
        <v>210</v>
      </c>
      <c r="I417" s="52" t="s">
        <v>237</v>
      </c>
      <c r="J417" s="52" t="s">
        <v>0</v>
      </c>
      <c r="K417" s="409" t="s">
        <v>381</v>
      </c>
      <c r="L417" s="409"/>
      <c r="M417" s="409"/>
      <c r="N417" s="409"/>
      <c r="O417" s="436"/>
      <c r="P417" s="639" t="s">
        <v>211</v>
      </c>
      <c r="Q417" s="52" t="s">
        <v>212</v>
      </c>
      <c r="R417" s="52" t="s">
        <v>237</v>
      </c>
      <c r="S417" s="10" t="s">
        <v>0</v>
      </c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  <c r="AT417" s="109"/>
      <c r="AU417" s="109"/>
      <c r="AV417" s="109"/>
      <c r="AW417" s="109"/>
      <c r="AX417" s="109"/>
      <c r="AY417" s="109"/>
      <c r="AZ417" s="109"/>
    </row>
    <row r="418" spans="1:52" ht="12.75" customHeight="1" x14ac:dyDescent="0.2">
      <c r="A418" s="743"/>
      <c r="B418" s="744"/>
      <c r="C418" s="744"/>
      <c r="D418" s="744"/>
      <c r="E418" s="744"/>
      <c r="F418" s="745"/>
      <c r="G418" s="419"/>
      <c r="H418" s="330"/>
      <c r="I418" s="363">
        <v>0</v>
      </c>
      <c r="J418" s="329">
        <f>SUM(G418*H418*I418%)</f>
        <v>0</v>
      </c>
      <c r="K418" s="739"/>
      <c r="L418" s="740"/>
      <c r="M418" s="740"/>
      <c r="N418" s="740"/>
      <c r="O418" s="741"/>
      <c r="P418" s="420"/>
      <c r="Q418" s="336"/>
      <c r="R418" s="402">
        <v>0</v>
      </c>
      <c r="S418" s="97">
        <f t="shared" ref="S418:S451" si="25">SUM(Q418*R418%*P418)</f>
        <v>0</v>
      </c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  <c r="AT418" s="109"/>
      <c r="AU418" s="109"/>
      <c r="AV418" s="109"/>
      <c r="AW418" s="109"/>
      <c r="AX418" s="109"/>
      <c r="AY418" s="109"/>
      <c r="AZ418" s="109"/>
    </row>
    <row r="419" spans="1:52" ht="12.75" customHeight="1" x14ac:dyDescent="0.2">
      <c r="A419" s="743"/>
      <c r="B419" s="744"/>
      <c r="C419" s="744"/>
      <c r="D419" s="744"/>
      <c r="E419" s="744"/>
      <c r="F419" s="745"/>
      <c r="G419" s="419"/>
      <c r="H419" s="331"/>
      <c r="I419" s="364">
        <v>0</v>
      </c>
      <c r="J419" s="97">
        <f>SUM(G419*H419*I419%)</f>
        <v>0</v>
      </c>
      <c r="K419" s="739"/>
      <c r="L419" s="740"/>
      <c r="M419" s="740"/>
      <c r="N419" s="740"/>
      <c r="O419" s="741"/>
      <c r="P419" s="421"/>
      <c r="Q419" s="332"/>
      <c r="R419" s="403">
        <v>0</v>
      </c>
      <c r="S419" s="97">
        <f t="shared" si="25"/>
        <v>0</v>
      </c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  <c r="AT419" s="109"/>
      <c r="AU419" s="109"/>
      <c r="AV419" s="109"/>
      <c r="AW419" s="109"/>
      <c r="AX419" s="109"/>
      <c r="AY419" s="109"/>
      <c r="AZ419" s="109"/>
    </row>
    <row r="420" spans="1:52" ht="12.75" customHeight="1" x14ac:dyDescent="0.2">
      <c r="A420" s="743"/>
      <c r="B420" s="744"/>
      <c r="C420" s="744"/>
      <c r="D420" s="744"/>
      <c r="E420" s="744"/>
      <c r="F420" s="745"/>
      <c r="G420" s="419"/>
      <c r="H420" s="331"/>
      <c r="I420" s="364">
        <v>0</v>
      </c>
      <c r="J420" s="329">
        <f t="shared" ref="J420:J451" si="26">SUM(G420*H420*I420%)</f>
        <v>0</v>
      </c>
      <c r="K420" s="739"/>
      <c r="L420" s="740"/>
      <c r="M420" s="740"/>
      <c r="N420" s="740"/>
      <c r="O420" s="741"/>
      <c r="P420" s="422"/>
      <c r="Q420" s="332"/>
      <c r="R420" s="403">
        <v>0</v>
      </c>
      <c r="S420" s="97">
        <f t="shared" si="25"/>
        <v>0</v>
      </c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  <c r="AT420" s="109"/>
      <c r="AU420" s="109"/>
      <c r="AV420" s="109"/>
      <c r="AW420" s="109"/>
      <c r="AX420" s="109"/>
      <c r="AY420" s="109"/>
      <c r="AZ420" s="109"/>
    </row>
    <row r="421" spans="1:52" ht="12.75" customHeight="1" x14ac:dyDescent="0.2">
      <c r="A421" s="743"/>
      <c r="B421" s="744"/>
      <c r="C421" s="744"/>
      <c r="D421" s="744"/>
      <c r="E421" s="744"/>
      <c r="F421" s="745"/>
      <c r="G421" s="419"/>
      <c r="H421" s="331"/>
      <c r="I421" s="364">
        <v>0</v>
      </c>
      <c r="J421" s="97">
        <f t="shared" si="26"/>
        <v>0</v>
      </c>
      <c r="K421" s="739"/>
      <c r="L421" s="740"/>
      <c r="M421" s="740"/>
      <c r="N421" s="740"/>
      <c r="O421" s="741"/>
      <c r="P421" s="421"/>
      <c r="Q421" s="332"/>
      <c r="R421" s="403">
        <v>0</v>
      </c>
      <c r="S421" s="97">
        <f t="shared" si="25"/>
        <v>0</v>
      </c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9"/>
      <c r="AS421" s="109"/>
      <c r="AT421" s="109"/>
      <c r="AU421" s="109"/>
      <c r="AV421" s="109"/>
      <c r="AW421" s="109"/>
      <c r="AX421" s="109"/>
      <c r="AY421" s="109"/>
      <c r="AZ421" s="109"/>
    </row>
    <row r="422" spans="1:52" ht="12.75" customHeight="1" x14ac:dyDescent="0.2">
      <c r="A422" s="743"/>
      <c r="B422" s="744"/>
      <c r="C422" s="744"/>
      <c r="D422" s="744"/>
      <c r="E422" s="744"/>
      <c r="F422" s="745"/>
      <c r="G422" s="419"/>
      <c r="H422" s="331"/>
      <c r="I422" s="364">
        <v>0</v>
      </c>
      <c r="J422" s="329">
        <f t="shared" si="26"/>
        <v>0</v>
      </c>
      <c r="K422" s="739"/>
      <c r="L422" s="740"/>
      <c r="M422" s="740"/>
      <c r="N422" s="740"/>
      <c r="O422" s="741"/>
      <c r="P422" s="422"/>
      <c r="Q422" s="332"/>
      <c r="R422" s="403">
        <v>0</v>
      </c>
      <c r="S422" s="97">
        <f t="shared" si="25"/>
        <v>0</v>
      </c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9"/>
      <c r="AS422" s="109"/>
      <c r="AT422" s="109"/>
      <c r="AU422" s="109"/>
      <c r="AV422" s="109"/>
      <c r="AW422" s="109"/>
      <c r="AX422" s="109"/>
      <c r="AY422" s="109"/>
      <c r="AZ422" s="109"/>
    </row>
    <row r="423" spans="1:52" ht="12.75" customHeight="1" x14ac:dyDescent="0.2">
      <c r="A423" s="743"/>
      <c r="B423" s="744"/>
      <c r="C423" s="744"/>
      <c r="D423" s="744"/>
      <c r="E423" s="744"/>
      <c r="F423" s="745"/>
      <c r="G423" s="419"/>
      <c r="H423" s="331"/>
      <c r="I423" s="364">
        <v>0</v>
      </c>
      <c r="J423" s="97">
        <f t="shared" si="26"/>
        <v>0</v>
      </c>
      <c r="K423" s="739"/>
      <c r="L423" s="740"/>
      <c r="M423" s="740"/>
      <c r="N423" s="740"/>
      <c r="O423" s="741"/>
      <c r="P423" s="421"/>
      <c r="Q423" s="332"/>
      <c r="R423" s="403">
        <v>0</v>
      </c>
      <c r="S423" s="97">
        <f t="shared" si="25"/>
        <v>0</v>
      </c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9"/>
      <c r="AS423" s="109"/>
      <c r="AT423" s="109"/>
      <c r="AU423" s="109"/>
      <c r="AV423" s="109"/>
      <c r="AW423" s="109"/>
      <c r="AX423" s="109"/>
      <c r="AY423" s="109"/>
      <c r="AZ423" s="109"/>
    </row>
    <row r="424" spans="1:52" ht="12.75" customHeight="1" x14ac:dyDescent="0.2">
      <c r="A424" s="743"/>
      <c r="B424" s="744"/>
      <c r="C424" s="744"/>
      <c r="D424" s="744"/>
      <c r="E424" s="744"/>
      <c r="F424" s="745"/>
      <c r="G424" s="419"/>
      <c r="H424" s="331"/>
      <c r="I424" s="364">
        <v>0</v>
      </c>
      <c r="J424" s="329">
        <f t="shared" si="26"/>
        <v>0</v>
      </c>
      <c r="K424" s="739"/>
      <c r="L424" s="740"/>
      <c r="M424" s="740"/>
      <c r="N424" s="740"/>
      <c r="O424" s="741"/>
      <c r="P424" s="422"/>
      <c r="Q424" s="332"/>
      <c r="R424" s="403">
        <v>0</v>
      </c>
      <c r="S424" s="97">
        <f t="shared" si="25"/>
        <v>0</v>
      </c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9"/>
      <c r="AS424" s="109"/>
      <c r="AT424" s="109"/>
      <c r="AU424" s="109"/>
      <c r="AV424" s="109"/>
      <c r="AW424" s="109"/>
      <c r="AX424" s="109"/>
      <c r="AY424" s="109"/>
      <c r="AZ424" s="109"/>
    </row>
    <row r="425" spans="1:52" ht="12.75" customHeight="1" x14ac:dyDescent="0.2">
      <c r="A425" s="743"/>
      <c r="B425" s="744"/>
      <c r="C425" s="744"/>
      <c r="D425" s="744"/>
      <c r="E425" s="744"/>
      <c r="F425" s="745"/>
      <c r="G425" s="419"/>
      <c r="H425" s="331"/>
      <c r="I425" s="364">
        <v>0</v>
      </c>
      <c r="J425" s="97">
        <f t="shared" si="26"/>
        <v>0</v>
      </c>
      <c r="K425" s="739"/>
      <c r="L425" s="740"/>
      <c r="M425" s="740"/>
      <c r="N425" s="740"/>
      <c r="O425" s="741"/>
      <c r="P425" s="421"/>
      <c r="Q425" s="332"/>
      <c r="R425" s="403">
        <v>0</v>
      </c>
      <c r="S425" s="97">
        <f t="shared" si="25"/>
        <v>0</v>
      </c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  <c r="AT425" s="109"/>
      <c r="AU425" s="109"/>
      <c r="AV425" s="109"/>
      <c r="AW425" s="109"/>
      <c r="AX425" s="109"/>
      <c r="AY425" s="109"/>
      <c r="AZ425" s="109"/>
    </row>
    <row r="426" spans="1:52" ht="12.75" customHeight="1" x14ac:dyDescent="0.2">
      <c r="A426" s="743"/>
      <c r="B426" s="744"/>
      <c r="C426" s="744"/>
      <c r="D426" s="744"/>
      <c r="E426" s="744"/>
      <c r="F426" s="745"/>
      <c r="G426" s="419"/>
      <c r="H426" s="331"/>
      <c r="I426" s="364">
        <v>0</v>
      </c>
      <c r="J426" s="329">
        <f t="shared" si="26"/>
        <v>0</v>
      </c>
      <c r="K426" s="739"/>
      <c r="L426" s="740"/>
      <c r="M426" s="740"/>
      <c r="N426" s="740"/>
      <c r="O426" s="741"/>
      <c r="P426" s="422"/>
      <c r="Q426" s="332"/>
      <c r="R426" s="403">
        <v>0</v>
      </c>
      <c r="S426" s="97">
        <f t="shared" si="25"/>
        <v>0</v>
      </c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9"/>
      <c r="AS426" s="109"/>
      <c r="AT426" s="109"/>
      <c r="AU426" s="109"/>
      <c r="AV426" s="109"/>
      <c r="AW426" s="109"/>
      <c r="AX426" s="109"/>
      <c r="AY426" s="109"/>
      <c r="AZ426" s="109"/>
    </row>
    <row r="427" spans="1:52" ht="12.75" customHeight="1" x14ac:dyDescent="0.2">
      <c r="A427" s="743"/>
      <c r="B427" s="744"/>
      <c r="C427" s="744"/>
      <c r="D427" s="744"/>
      <c r="E427" s="744"/>
      <c r="F427" s="745"/>
      <c r="G427" s="419"/>
      <c r="H427" s="331"/>
      <c r="I427" s="364">
        <v>0</v>
      </c>
      <c r="J427" s="97">
        <f t="shared" si="26"/>
        <v>0</v>
      </c>
      <c r="K427" s="739"/>
      <c r="L427" s="740"/>
      <c r="M427" s="740"/>
      <c r="N427" s="740"/>
      <c r="O427" s="741"/>
      <c r="P427" s="421"/>
      <c r="Q427" s="332"/>
      <c r="R427" s="403">
        <v>0</v>
      </c>
      <c r="S427" s="97">
        <f t="shared" si="25"/>
        <v>0</v>
      </c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9"/>
      <c r="AS427" s="109"/>
      <c r="AT427" s="109"/>
      <c r="AU427" s="109"/>
      <c r="AV427" s="109"/>
      <c r="AW427" s="109"/>
      <c r="AX427" s="109"/>
      <c r="AY427" s="109"/>
      <c r="AZ427" s="109"/>
    </row>
    <row r="428" spans="1:52" ht="12.75" customHeight="1" x14ac:dyDescent="0.2">
      <c r="A428" s="743"/>
      <c r="B428" s="744"/>
      <c r="C428" s="744"/>
      <c r="D428" s="744"/>
      <c r="E428" s="744"/>
      <c r="F428" s="745"/>
      <c r="G428" s="419"/>
      <c r="H428" s="331"/>
      <c r="I428" s="364">
        <v>0</v>
      </c>
      <c r="J428" s="329">
        <f t="shared" si="26"/>
        <v>0</v>
      </c>
      <c r="K428" s="739"/>
      <c r="L428" s="740"/>
      <c r="M428" s="740"/>
      <c r="N428" s="740"/>
      <c r="O428" s="741"/>
      <c r="P428" s="422"/>
      <c r="Q428" s="332"/>
      <c r="R428" s="403">
        <v>0</v>
      </c>
      <c r="S428" s="97">
        <f t="shared" si="25"/>
        <v>0</v>
      </c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9"/>
      <c r="AS428" s="109"/>
      <c r="AT428" s="109"/>
      <c r="AU428" s="109"/>
      <c r="AV428" s="109"/>
      <c r="AW428" s="109"/>
      <c r="AX428" s="109"/>
      <c r="AY428" s="109"/>
      <c r="AZ428" s="109"/>
    </row>
    <row r="429" spans="1:52" ht="12.75" customHeight="1" x14ac:dyDescent="0.2">
      <c r="A429" s="743"/>
      <c r="B429" s="744"/>
      <c r="C429" s="744"/>
      <c r="D429" s="744"/>
      <c r="E429" s="744"/>
      <c r="F429" s="745"/>
      <c r="G429" s="419"/>
      <c r="H429" s="331"/>
      <c r="I429" s="364">
        <v>0</v>
      </c>
      <c r="J429" s="97">
        <f t="shared" si="26"/>
        <v>0</v>
      </c>
      <c r="K429" s="739"/>
      <c r="L429" s="740"/>
      <c r="M429" s="740"/>
      <c r="N429" s="740"/>
      <c r="O429" s="741"/>
      <c r="P429" s="421"/>
      <c r="Q429" s="332"/>
      <c r="R429" s="403">
        <v>0</v>
      </c>
      <c r="S429" s="97">
        <f t="shared" si="25"/>
        <v>0</v>
      </c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9"/>
      <c r="AS429" s="109"/>
      <c r="AT429" s="109"/>
      <c r="AU429" s="109"/>
      <c r="AV429" s="109"/>
      <c r="AW429" s="109"/>
      <c r="AX429" s="109"/>
      <c r="AY429" s="109"/>
      <c r="AZ429" s="109"/>
    </row>
    <row r="430" spans="1:52" ht="12.75" customHeight="1" x14ac:dyDescent="0.2">
      <c r="A430" s="743"/>
      <c r="B430" s="744"/>
      <c r="C430" s="744"/>
      <c r="D430" s="744"/>
      <c r="E430" s="744"/>
      <c r="F430" s="745"/>
      <c r="G430" s="419"/>
      <c r="H430" s="331"/>
      <c r="I430" s="364">
        <v>0</v>
      </c>
      <c r="J430" s="329">
        <f t="shared" si="26"/>
        <v>0</v>
      </c>
      <c r="K430" s="739"/>
      <c r="L430" s="740"/>
      <c r="M430" s="740"/>
      <c r="N430" s="740"/>
      <c r="O430" s="741"/>
      <c r="P430" s="422"/>
      <c r="Q430" s="332"/>
      <c r="R430" s="403">
        <v>0</v>
      </c>
      <c r="S430" s="97">
        <f t="shared" si="25"/>
        <v>0</v>
      </c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9"/>
      <c r="AS430" s="109"/>
      <c r="AT430" s="109"/>
      <c r="AU430" s="109"/>
      <c r="AV430" s="109"/>
      <c r="AW430" s="109"/>
      <c r="AX430" s="109"/>
      <c r="AY430" s="109"/>
      <c r="AZ430" s="109"/>
    </row>
    <row r="431" spans="1:52" ht="12.75" customHeight="1" x14ac:dyDescent="0.2">
      <c r="A431" s="743"/>
      <c r="B431" s="744"/>
      <c r="C431" s="744"/>
      <c r="D431" s="744"/>
      <c r="E431" s="744"/>
      <c r="F431" s="745"/>
      <c r="G431" s="419"/>
      <c r="H431" s="331"/>
      <c r="I431" s="364">
        <v>0</v>
      </c>
      <c r="J431" s="97">
        <f t="shared" si="26"/>
        <v>0</v>
      </c>
      <c r="K431" s="739"/>
      <c r="L431" s="740"/>
      <c r="M431" s="740"/>
      <c r="N431" s="740"/>
      <c r="O431" s="741"/>
      <c r="P431" s="421"/>
      <c r="Q431" s="332"/>
      <c r="R431" s="403">
        <v>0</v>
      </c>
      <c r="S431" s="97">
        <f t="shared" si="25"/>
        <v>0</v>
      </c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9"/>
      <c r="AS431" s="109"/>
      <c r="AT431" s="109"/>
      <c r="AU431" s="109"/>
      <c r="AV431" s="109"/>
      <c r="AW431" s="109"/>
      <c r="AX431" s="109"/>
      <c r="AY431" s="109"/>
      <c r="AZ431" s="109"/>
    </row>
    <row r="432" spans="1:52" ht="12.75" customHeight="1" x14ac:dyDescent="0.2">
      <c r="A432" s="743"/>
      <c r="B432" s="744"/>
      <c r="C432" s="744"/>
      <c r="D432" s="744"/>
      <c r="E432" s="744"/>
      <c r="F432" s="745"/>
      <c r="G432" s="419"/>
      <c r="H432" s="331"/>
      <c r="I432" s="364">
        <v>0</v>
      </c>
      <c r="J432" s="329">
        <f t="shared" si="26"/>
        <v>0</v>
      </c>
      <c r="K432" s="739"/>
      <c r="L432" s="740"/>
      <c r="M432" s="740"/>
      <c r="N432" s="740"/>
      <c r="O432" s="741"/>
      <c r="P432" s="422"/>
      <c r="Q432" s="332"/>
      <c r="R432" s="403">
        <v>0</v>
      </c>
      <c r="S432" s="97">
        <f t="shared" si="25"/>
        <v>0</v>
      </c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9"/>
      <c r="AS432" s="109"/>
      <c r="AT432" s="109"/>
      <c r="AU432" s="109"/>
      <c r="AV432" s="109"/>
      <c r="AW432" s="109"/>
      <c r="AX432" s="109"/>
      <c r="AY432" s="109"/>
      <c r="AZ432" s="109"/>
    </row>
    <row r="433" spans="1:52" ht="12.75" customHeight="1" x14ac:dyDescent="0.2">
      <c r="A433" s="743"/>
      <c r="B433" s="744"/>
      <c r="C433" s="744"/>
      <c r="D433" s="744"/>
      <c r="E433" s="744"/>
      <c r="F433" s="745"/>
      <c r="G433" s="419"/>
      <c r="H433" s="331"/>
      <c r="I433" s="364">
        <v>0</v>
      </c>
      <c r="J433" s="97">
        <f t="shared" si="26"/>
        <v>0</v>
      </c>
      <c r="K433" s="739"/>
      <c r="L433" s="740"/>
      <c r="M433" s="740"/>
      <c r="N433" s="740"/>
      <c r="O433" s="741"/>
      <c r="P433" s="421"/>
      <c r="Q433" s="332"/>
      <c r="R433" s="403">
        <v>0</v>
      </c>
      <c r="S433" s="97">
        <f t="shared" si="25"/>
        <v>0</v>
      </c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  <c r="AT433" s="109"/>
      <c r="AU433" s="109"/>
      <c r="AV433" s="109"/>
      <c r="AW433" s="109"/>
      <c r="AX433" s="109"/>
      <c r="AY433" s="109"/>
      <c r="AZ433" s="109"/>
    </row>
    <row r="434" spans="1:52" ht="12.75" customHeight="1" x14ac:dyDescent="0.2">
      <c r="A434" s="743"/>
      <c r="B434" s="744"/>
      <c r="C434" s="744"/>
      <c r="D434" s="744"/>
      <c r="E434" s="744"/>
      <c r="F434" s="745"/>
      <c r="G434" s="419"/>
      <c r="H434" s="331"/>
      <c r="I434" s="364">
        <v>0</v>
      </c>
      <c r="J434" s="329">
        <f t="shared" si="26"/>
        <v>0</v>
      </c>
      <c r="K434" s="739"/>
      <c r="L434" s="740"/>
      <c r="M434" s="740"/>
      <c r="N434" s="740"/>
      <c r="O434" s="741"/>
      <c r="P434" s="423"/>
      <c r="Q434" s="332"/>
      <c r="R434" s="403">
        <v>0</v>
      </c>
      <c r="S434" s="97">
        <f t="shared" si="25"/>
        <v>0</v>
      </c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  <c r="AT434" s="109"/>
      <c r="AU434" s="109"/>
      <c r="AV434" s="109"/>
      <c r="AW434" s="109"/>
      <c r="AX434" s="109"/>
      <c r="AY434" s="109"/>
      <c r="AZ434" s="109"/>
    </row>
    <row r="435" spans="1:52" ht="12.75" customHeight="1" x14ac:dyDescent="0.2">
      <c r="A435" s="743"/>
      <c r="B435" s="744"/>
      <c r="C435" s="744"/>
      <c r="D435" s="744"/>
      <c r="E435" s="744"/>
      <c r="F435" s="745"/>
      <c r="G435" s="419"/>
      <c r="H435" s="330"/>
      <c r="I435" s="363">
        <v>0</v>
      </c>
      <c r="J435" s="97">
        <f t="shared" si="26"/>
        <v>0</v>
      </c>
      <c r="K435" s="739"/>
      <c r="L435" s="740"/>
      <c r="M435" s="740"/>
      <c r="N435" s="740"/>
      <c r="O435" s="741"/>
      <c r="P435" s="420"/>
      <c r="Q435" s="336"/>
      <c r="R435" s="402">
        <v>0</v>
      </c>
      <c r="S435" s="97">
        <f t="shared" si="25"/>
        <v>0</v>
      </c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  <c r="AT435" s="109"/>
      <c r="AU435" s="109"/>
      <c r="AV435" s="109"/>
      <c r="AW435" s="109"/>
      <c r="AX435" s="109"/>
      <c r="AY435" s="109"/>
      <c r="AZ435" s="109"/>
    </row>
    <row r="436" spans="1:52" ht="12.75" customHeight="1" x14ac:dyDescent="0.2">
      <c r="A436" s="743"/>
      <c r="B436" s="744"/>
      <c r="C436" s="744"/>
      <c r="D436" s="744"/>
      <c r="E436" s="744"/>
      <c r="F436" s="745"/>
      <c r="G436" s="419"/>
      <c r="H436" s="331"/>
      <c r="I436" s="364">
        <v>0</v>
      </c>
      <c r="J436" s="329">
        <f t="shared" si="26"/>
        <v>0</v>
      </c>
      <c r="K436" s="739"/>
      <c r="L436" s="740"/>
      <c r="M436" s="740"/>
      <c r="N436" s="740"/>
      <c r="O436" s="741"/>
      <c r="P436" s="421"/>
      <c r="Q436" s="332"/>
      <c r="R436" s="403">
        <v>0</v>
      </c>
      <c r="S436" s="97">
        <f t="shared" si="25"/>
        <v>0</v>
      </c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  <c r="AT436" s="109"/>
      <c r="AU436" s="109"/>
      <c r="AV436" s="109"/>
      <c r="AW436" s="109"/>
      <c r="AX436" s="109"/>
      <c r="AY436" s="109"/>
      <c r="AZ436" s="109"/>
    </row>
    <row r="437" spans="1:52" ht="12.75" customHeight="1" x14ac:dyDescent="0.2">
      <c r="A437" s="743"/>
      <c r="B437" s="744"/>
      <c r="C437" s="744"/>
      <c r="D437" s="744"/>
      <c r="E437" s="744"/>
      <c r="F437" s="745"/>
      <c r="G437" s="419"/>
      <c r="H437" s="331"/>
      <c r="I437" s="364">
        <v>0</v>
      </c>
      <c r="J437" s="97">
        <f t="shared" si="26"/>
        <v>0</v>
      </c>
      <c r="K437" s="739"/>
      <c r="L437" s="740"/>
      <c r="M437" s="740"/>
      <c r="N437" s="740"/>
      <c r="O437" s="741"/>
      <c r="P437" s="422"/>
      <c r="Q437" s="332"/>
      <c r="R437" s="403">
        <v>0</v>
      </c>
      <c r="S437" s="97">
        <f t="shared" si="25"/>
        <v>0</v>
      </c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  <c r="AT437" s="109"/>
      <c r="AU437" s="109"/>
      <c r="AV437" s="109"/>
      <c r="AW437" s="109"/>
      <c r="AX437" s="109"/>
      <c r="AY437" s="109"/>
      <c r="AZ437" s="109"/>
    </row>
    <row r="438" spans="1:52" ht="12.75" customHeight="1" x14ac:dyDescent="0.2">
      <c r="A438" s="743"/>
      <c r="B438" s="744"/>
      <c r="C438" s="744"/>
      <c r="D438" s="744"/>
      <c r="E438" s="744"/>
      <c r="F438" s="745"/>
      <c r="G438" s="419"/>
      <c r="H438" s="331"/>
      <c r="I438" s="364">
        <v>0</v>
      </c>
      <c r="J438" s="329">
        <f t="shared" si="26"/>
        <v>0</v>
      </c>
      <c r="K438" s="739"/>
      <c r="L438" s="740"/>
      <c r="M438" s="740"/>
      <c r="N438" s="740"/>
      <c r="O438" s="741"/>
      <c r="P438" s="421"/>
      <c r="Q438" s="332"/>
      <c r="R438" s="403">
        <v>0</v>
      </c>
      <c r="S438" s="97">
        <f t="shared" si="25"/>
        <v>0</v>
      </c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  <c r="AT438" s="109"/>
      <c r="AU438" s="109"/>
      <c r="AV438" s="109"/>
      <c r="AW438" s="109"/>
      <c r="AX438" s="109"/>
      <c r="AY438" s="109"/>
      <c r="AZ438" s="109"/>
    </row>
    <row r="439" spans="1:52" ht="12.75" customHeight="1" x14ac:dyDescent="0.2">
      <c r="A439" s="743"/>
      <c r="B439" s="744"/>
      <c r="C439" s="744"/>
      <c r="D439" s="744"/>
      <c r="E439" s="744"/>
      <c r="F439" s="745"/>
      <c r="G439" s="419"/>
      <c r="H439" s="331"/>
      <c r="I439" s="364">
        <v>0</v>
      </c>
      <c r="J439" s="97">
        <f t="shared" si="26"/>
        <v>0</v>
      </c>
      <c r="K439" s="739"/>
      <c r="L439" s="740"/>
      <c r="M439" s="740"/>
      <c r="N439" s="740"/>
      <c r="O439" s="741"/>
      <c r="P439" s="422"/>
      <c r="Q439" s="332"/>
      <c r="R439" s="403">
        <v>0</v>
      </c>
      <c r="S439" s="97">
        <f t="shared" si="25"/>
        <v>0</v>
      </c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  <c r="AT439" s="109"/>
      <c r="AU439" s="109"/>
      <c r="AV439" s="109"/>
      <c r="AW439" s="109"/>
      <c r="AX439" s="109"/>
      <c r="AY439" s="109"/>
      <c r="AZ439" s="109"/>
    </row>
    <row r="440" spans="1:52" ht="12.75" customHeight="1" x14ac:dyDescent="0.2">
      <c r="A440" s="743"/>
      <c r="B440" s="744"/>
      <c r="C440" s="744"/>
      <c r="D440" s="744"/>
      <c r="E440" s="744"/>
      <c r="F440" s="745"/>
      <c r="G440" s="419"/>
      <c r="H440" s="331"/>
      <c r="I440" s="364">
        <v>0</v>
      </c>
      <c r="J440" s="329">
        <f t="shared" si="26"/>
        <v>0</v>
      </c>
      <c r="K440" s="739"/>
      <c r="L440" s="740"/>
      <c r="M440" s="740"/>
      <c r="N440" s="740"/>
      <c r="O440" s="741"/>
      <c r="P440" s="421"/>
      <c r="Q440" s="332"/>
      <c r="R440" s="403">
        <v>0</v>
      </c>
      <c r="S440" s="97">
        <f t="shared" si="25"/>
        <v>0</v>
      </c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  <c r="AT440" s="109"/>
      <c r="AU440" s="109"/>
      <c r="AV440" s="109"/>
      <c r="AW440" s="109"/>
      <c r="AX440" s="109"/>
      <c r="AY440" s="109"/>
      <c r="AZ440" s="109"/>
    </row>
    <row r="441" spans="1:52" ht="12.75" customHeight="1" x14ac:dyDescent="0.2">
      <c r="A441" s="743"/>
      <c r="B441" s="744"/>
      <c r="C441" s="744"/>
      <c r="D441" s="744"/>
      <c r="E441" s="744"/>
      <c r="F441" s="745"/>
      <c r="G441" s="419"/>
      <c r="H441" s="331"/>
      <c r="I441" s="364">
        <v>0</v>
      </c>
      <c r="J441" s="97">
        <f t="shared" si="26"/>
        <v>0</v>
      </c>
      <c r="K441" s="739"/>
      <c r="L441" s="740"/>
      <c r="M441" s="740"/>
      <c r="N441" s="740"/>
      <c r="O441" s="741"/>
      <c r="P441" s="422"/>
      <c r="Q441" s="332"/>
      <c r="R441" s="403">
        <v>0</v>
      </c>
      <c r="S441" s="97">
        <f t="shared" si="25"/>
        <v>0</v>
      </c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  <c r="AT441" s="109"/>
      <c r="AU441" s="109"/>
      <c r="AV441" s="109"/>
      <c r="AW441" s="109"/>
      <c r="AX441" s="109"/>
      <c r="AY441" s="109"/>
      <c r="AZ441" s="109"/>
    </row>
    <row r="442" spans="1:52" ht="12.75" customHeight="1" x14ac:dyDescent="0.2">
      <c r="A442" s="743"/>
      <c r="B442" s="744"/>
      <c r="C442" s="744"/>
      <c r="D442" s="744"/>
      <c r="E442" s="744"/>
      <c r="F442" s="745"/>
      <c r="G442" s="419"/>
      <c r="H442" s="331"/>
      <c r="I442" s="364">
        <v>0</v>
      </c>
      <c r="J442" s="329">
        <f t="shared" si="26"/>
        <v>0</v>
      </c>
      <c r="K442" s="739"/>
      <c r="L442" s="740"/>
      <c r="M442" s="740"/>
      <c r="N442" s="740"/>
      <c r="O442" s="741"/>
      <c r="P442" s="421"/>
      <c r="Q442" s="332"/>
      <c r="R442" s="403">
        <v>0</v>
      </c>
      <c r="S442" s="97">
        <f t="shared" si="25"/>
        <v>0</v>
      </c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  <c r="AT442" s="109"/>
      <c r="AU442" s="109"/>
      <c r="AV442" s="109"/>
      <c r="AW442" s="109"/>
      <c r="AX442" s="109"/>
      <c r="AY442" s="109"/>
      <c r="AZ442" s="109"/>
    </row>
    <row r="443" spans="1:52" ht="12.75" customHeight="1" x14ac:dyDescent="0.2">
      <c r="A443" s="743"/>
      <c r="B443" s="744"/>
      <c r="C443" s="744"/>
      <c r="D443" s="744"/>
      <c r="E443" s="744"/>
      <c r="F443" s="745"/>
      <c r="G443" s="419"/>
      <c r="H443" s="331"/>
      <c r="I443" s="364">
        <v>0</v>
      </c>
      <c r="J443" s="97">
        <f t="shared" si="26"/>
        <v>0</v>
      </c>
      <c r="K443" s="739"/>
      <c r="L443" s="740"/>
      <c r="M443" s="740"/>
      <c r="N443" s="740"/>
      <c r="O443" s="741"/>
      <c r="P443" s="422"/>
      <c r="Q443" s="332"/>
      <c r="R443" s="403">
        <v>0</v>
      </c>
      <c r="S443" s="97">
        <f t="shared" si="25"/>
        <v>0</v>
      </c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  <c r="AT443" s="109"/>
      <c r="AU443" s="109"/>
      <c r="AV443" s="109"/>
      <c r="AW443" s="109"/>
      <c r="AX443" s="109"/>
      <c r="AY443" s="109"/>
      <c r="AZ443" s="109"/>
    </row>
    <row r="444" spans="1:52" ht="12.75" customHeight="1" x14ac:dyDescent="0.2">
      <c r="A444" s="743"/>
      <c r="B444" s="744"/>
      <c r="C444" s="744"/>
      <c r="D444" s="744"/>
      <c r="E444" s="744"/>
      <c r="F444" s="745"/>
      <c r="G444" s="419"/>
      <c r="H444" s="331"/>
      <c r="I444" s="364">
        <v>0</v>
      </c>
      <c r="J444" s="329">
        <f t="shared" si="26"/>
        <v>0</v>
      </c>
      <c r="K444" s="739"/>
      <c r="L444" s="740"/>
      <c r="M444" s="740"/>
      <c r="N444" s="740"/>
      <c r="O444" s="741"/>
      <c r="P444" s="421"/>
      <c r="Q444" s="332"/>
      <c r="R444" s="403">
        <v>0</v>
      </c>
      <c r="S444" s="97">
        <f t="shared" si="25"/>
        <v>0</v>
      </c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  <c r="AT444" s="109"/>
      <c r="AU444" s="109"/>
      <c r="AV444" s="109"/>
      <c r="AW444" s="109"/>
      <c r="AX444" s="109"/>
      <c r="AY444" s="109"/>
      <c r="AZ444" s="109"/>
    </row>
    <row r="445" spans="1:52" ht="12.75" customHeight="1" x14ac:dyDescent="0.2">
      <c r="A445" s="743"/>
      <c r="B445" s="744"/>
      <c r="C445" s="744"/>
      <c r="D445" s="744"/>
      <c r="E445" s="744"/>
      <c r="F445" s="745"/>
      <c r="G445" s="419"/>
      <c r="H445" s="331"/>
      <c r="I445" s="364">
        <v>0</v>
      </c>
      <c r="J445" s="97">
        <f t="shared" si="26"/>
        <v>0</v>
      </c>
      <c r="K445" s="739"/>
      <c r="L445" s="740"/>
      <c r="M445" s="740"/>
      <c r="N445" s="740"/>
      <c r="O445" s="741"/>
      <c r="P445" s="422"/>
      <c r="Q445" s="332"/>
      <c r="R445" s="403">
        <v>0</v>
      </c>
      <c r="S445" s="97">
        <f t="shared" si="25"/>
        <v>0</v>
      </c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  <c r="AT445" s="109"/>
      <c r="AU445" s="109"/>
      <c r="AV445" s="109"/>
      <c r="AW445" s="109"/>
      <c r="AX445" s="109"/>
      <c r="AY445" s="109"/>
      <c r="AZ445" s="109"/>
    </row>
    <row r="446" spans="1:52" ht="12.75" customHeight="1" x14ac:dyDescent="0.2">
      <c r="A446" s="743"/>
      <c r="B446" s="744"/>
      <c r="C446" s="744"/>
      <c r="D446" s="744"/>
      <c r="E446" s="744"/>
      <c r="F446" s="745"/>
      <c r="G446" s="419"/>
      <c r="H446" s="331"/>
      <c r="I446" s="364">
        <v>0</v>
      </c>
      <c r="J446" s="329">
        <f t="shared" si="26"/>
        <v>0</v>
      </c>
      <c r="K446" s="739"/>
      <c r="L446" s="740"/>
      <c r="M446" s="740"/>
      <c r="N446" s="740"/>
      <c r="O446" s="741"/>
      <c r="P446" s="421"/>
      <c r="Q446" s="332"/>
      <c r="R446" s="403">
        <v>0</v>
      </c>
      <c r="S446" s="97">
        <f t="shared" si="25"/>
        <v>0</v>
      </c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  <c r="AT446" s="109"/>
      <c r="AU446" s="109"/>
      <c r="AV446" s="109"/>
      <c r="AW446" s="109"/>
      <c r="AX446" s="109"/>
      <c r="AY446" s="109"/>
      <c r="AZ446" s="109"/>
    </row>
    <row r="447" spans="1:52" ht="12.75" customHeight="1" x14ac:dyDescent="0.2">
      <c r="A447" s="743"/>
      <c r="B447" s="744"/>
      <c r="C447" s="744"/>
      <c r="D447" s="744"/>
      <c r="E447" s="744"/>
      <c r="F447" s="745"/>
      <c r="G447" s="419"/>
      <c r="H447" s="331"/>
      <c r="I447" s="364">
        <v>0</v>
      </c>
      <c r="J447" s="97">
        <f t="shared" si="26"/>
        <v>0</v>
      </c>
      <c r="K447" s="739"/>
      <c r="L447" s="740"/>
      <c r="M447" s="740"/>
      <c r="N447" s="740"/>
      <c r="O447" s="741"/>
      <c r="P447" s="422"/>
      <c r="Q447" s="332"/>
      <c r="R447" s="403">
        <v>0</v>
      </c>
      <c r="S447" s="97">
        <f t="shared" si="25"/>
        <v>0</v>
      </c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  <c r="AT447" s="109"/>
      <c r="AU447" s="109"/>
      <c r="AV447" s="109"/>
      <c r="AW447" s="109"/>
      <c r="AX447" s="109"/>
      <c r="AY447" s="109"/>
      <c r="AZ447" s="109"/>
    </row>
    <row r="448" spans="1:52" ht="12.75" customHeight="1" x14ac:dyDescent="0.2">
      <c r="A448" s="743"/>
      <c r="B448" s="744"/>
      <c r="C448" s="744"/>
      <c r="D448" s="744"/>
      <c r="E448" s="744"/>
      <c r="F448" s="745"/>
      <c r="G448" s="419"/>
      <c r="H448" s="331"/>
      <c r="I448" s="364">
        <v>0</v>
      </c>
      <c r="J448" s="329">
        <f t="shared" si="26"/>
        <v>0</v>
      </c>
      <c r="K448" s="739"/>
      <c r="L448" s="740"/>
      <c r="M448" s="740"/>
      <c r="N448" s="740"/>
      <c r="O448" s="741"/>
      <c r="P448" s="421"/>
      <c r="Q448" s="332"/>
      <c r="R448" s="403">
        <v>0</v>
      </c>
      <c r="S448" s="97">
        <f t="shared" si="25"/>
        <v>0</v>
      </c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  <c r="AT448" s="109"/>
      <c r="AU448" s="109"/>
      <c r="AV448" s="109"/>
      <c r="AW448" s="109"/>
      <c r="AX448" s="109"/>
      <c r="AY448" s="109"/>
      <c r="AZ448" s="109"/>
    </row>
    <row r="449" spans="1:52" ht="12.75" customHeight="1" x14ac:dyDescent="0.2">
      <c r="A449" s="743"/>
      <c r="B449" s="744"/>
      <c r="C449" s="744"/>
      <c r="D449" s="744"/>
      <c r="E449" s="744"/>
      <c r="F449" s="745"/>
      <c r="G449" s="419"/>
      <c r="H449" s="331"/>
      <c r="I449" s="364">
        <v>0</v>
      </c>
      <c r="J449" s="97">
        <f t="shared" si="26"/>
        <v>0</v>
      </c>
      <c r="K449" s="739"/>
      <c r="L449" s="740"/>
      <c r="M449" s="740"/>
      <c r="N449" s="740"/>
      <c r="O449" s="741"/>
      <c r="P449" s="422"/>
      <c r="Q449" s="332"/>
      <c r="R449" s="403">
        <v>0</v>
      </c>
      <c r="S449" s="97">
        <f t="shared" si="25"/>
        <v>0</v>
      </c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  <c r="AT449" s="109"/>
      <c r="AU449" s="109"/>
      <c r="AV449" s="109"/>
      <c r="AW449" s="109"/>
      <c r="AX449" s="109"/>
      <c r="AY449" s="109"/>
      <c r="AZ449" s="109"/>
    </row>
    <row r="450" spans="1:52" ht="12.75" customHeight="1" x14ac:dyDescent="0.2">
      <c r="A450" s="743"/>
      <c r="B450" s="744"/>
      <c r="C450" s="744"/>
      <c r="D450" s="744"/>
      <c r="E450" s="744"/>
      <c r="F450" s="745"/>
      <c r="G450" s="419"/>
      <c r="H450" s="331"/>
      <c r="I450" s="364">
        <v>0</v>
      </c>
      <c r="J450" s="329">
        <f t="shared" si="26"/>
        <v>0</v>
      </c>
      <c r="K450" s="739"/>
      <c r="L450" s="740"/>
      <c r="M450" s="740"/>
      <c r="N450" s="740"/>
      <c r="O450" s="741"/>
      <c r="P450" s="421"/>
      <c r="Q450" s="332"/>
      <c r="R450" s="403">
        <v>0</v>
      </c>
      <c r="S450" s="97">
        <f t="shared" si="25"/>
        <v>0</v>
      </c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  <c r="AT450" s="109"/>
      <c r="AU450" s="109"/>
      <c r="AV450" s="109"/>
      <c r="AW450" s="109"/>
      <c r="AX450" s="109"/>
      <c r="AY450" s="109"/>
      <c r="AZ450" s="109"/>
    </row>
    <row r="451" spans="1:52" ht="12.75" customHeight="1" x14ac:dyDescent="0.2">
      <c r="A451" s="743"/>
      <c r="B451" s="744"/>
      <c r="C451" s="744"/>
      <c r="D451" s="744"/>
      <c r="E451" s="744"/>
      <c r="F451" s="745"/>
      <c r="G451" s="419"/>
      <c r="H451" s="331"/>
      <c r="I451" s="364">
        <v>0</v>
      </c>
      <c r="J451" s="97">
        <f t="shared" si="26"/>
        <v>0</v>
      </c>
      <c r="K451" s="739"/>
      <c r="L451" s="740"/>
      <c r="M451" s="740"/>
      <c r="N451" s="740"/>
      <c r="O451" s="741"/>
      <c r="P451" s="423"/>
      <c r="Q451" s="332"/>
      <c r="R451" s="403">
        <v>0</v>
      </c>
      <c r="S451" s="97">
        <f t="shared" si="25"/>
        <v>0</v>
      </c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  <c r="AT451" s="109"/>
      <c r="AU451" s="109"/>
      <c r="AV451" s="109"/>
      <c r="AW451" s="109"/>
      <c r="AX451" s="109"/>
      <c r="AY451" s="109"/>
      <c r="AZ451" s="109"/>
    </row>
    <row r="452" spans="1:52" ht="12.75" customHeight="1" thickBot="1" x14ac:dyDescent="0.25">
      <c r="A452" s="637"/>
      <c r="B452" s="109"/>
      <c r="C452" s="109"/>
      <c r="D452" s="109"/>
      <c r="E452" s="109"/>
      <c r="F452" s="109"/>
      <c r="G452" s="109"/>
      <c r="H452" s="109"/>
      <c r="I452" s="156" t="s">
        <v>0</v>
      </c>
      <c r="J452" s="677">
        <f>SUM(J418:J451)</f>
        <v>0</v>
      </c>
      <c r="K452" s="157"/>
      <c r="L452" s="157"/>
      <c r="M452" s="157"/>
      <c r="N452" s="157"/>
      <c r="O452" s="157"/>
      <c r="P452" s="157"/>
      <c r="Q452" s="157"/>
      <c r="R452" s="156" t="s">
        <v>0</v>
      </c>
      <c r="S452" s="679">
        <f>SUM(S418:S451)</f>
        <v>0</v>
      </c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</row>
    <row r="453" spans="1:52" ht="12.75" customHeight="1" x14ac:dyDescent="0.2">
      <c r="A453" s="637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408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  <c r="AT453" s="109"/>
      <c r="AU453" s="109"/>
      <c r="AV453" s="109"/>
      <c r="AW453" s="109"/>
      <c r="AX453" s="109"/>
      <c r="AY453" s="109"/>
      <c r="AZ453" s="109"/>
    </row>
    <row r="454" spans="1:52" ht="12.75" customHeight="1" thickBot="1" x14ac:dyDescent="0.25">
      <c r="A454" s="640"/>
      <c r="B454" s="459"/>
      <c r="C454" s="459"/>
      <c r="D454" s="459"/>
      <c r="E454" s="459"/>
      <c r="F454" s="459"/>
      <c r="G454" s="459"/>
      <c r="H454" s="459"/>
      <c r="I454" s="459"/>
      <c r="J454" s="459"/>
      <c r="K454" s="459"/>
      <c r="L454" s="459"/>
      <c r="M454" s="459"/>
      <c r="N454" s="459"/>
      <c r="O454" s="459"/>
      <c r="P454" s="641" t="s">
        <v>207</v>
      </c>
      <c r="Q454" s="641" t="s">
        <v>0</v>
      </c>
      <c r="R454" s="657">
        <f>SUM(J452+S452)</f>
        <v>0</v>
      </c>
      <c r="S454" s="642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  <c r="AV454" s="109"/>
      <c r="AW454" s="109"/>
      <c r="AX454" s="109"/>
      <c r="AY454" s="109"/>
      <c r="AZ454" s="109"/>
    </row>
    <row r="455" spans="1:52" ht="12.75" customHeight="1" x14ac:dyDescent="0.45">
      <c r="H455" s="15"/>
      <c r="I455" s="15"/>
      <c r="M455" s="59"/>
      <c r="N455" s="59"/>
      <c r="O455" s="88"/>
      <c r="P455" s="89"/>
      <c r="Q455" s="89"/>
      <c r="R455" s="527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  <c r="AT455" s="109"/>
      <c r="AU455" s="109"/>
      <c r="AV455" s="109"/>
      <c r="AW455" s="109"/>
      <c r="AX455" s="109"/>
      <c r="AY455" s="109"/>
      <c r="AZ455" s="109"/>
    </row>
    <row r="456" spans="1:52" ht="5.45" customHeight="1" x14ac:dyDescent="0.45">
      <c r="H456" s="15"/>
      <c r="I456" s="15"/>
      <c r="M456" s="59"/>
      <c r="N456" s="59"/>
      <c r="O456" s="88"/>
      <c r="P456" s="89"/>
      <c r="Q456" s="89"/>
      <c r="R456" s="527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  <c r="AT456" s="109"/>
      <c r="AU456" s="109"/>
      <c r="AV456" s="109"/>
      <c r="AW456" s="109"/>
      <c r="AX456" s="109"/>
      <c r="AY456" s="109"/>
      <c r="AZ456" s="109"/>
    </row>
    <row r="457" spans="1:52" ht="5.45" customHeight="1" x14ac:dyDescent="0.45">
      <c r="H457" s="15"/>
      <c r="I457" s="15"/>
      <c r="M457" s="59"/>
      <c r="N457" s="59"/>
      <c r="O457" s="88"/>
      <c r="P457" s="89"/>
      <c r="Q457" s="89"/>
      <c r="R457" s="527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  <c r="AV457" s="109"/>
      <c r="AW457" s="109"/>
      <c r="AX457" s="109"/>
      <c r="AY457" s="109"/>
      <c r="AZ457" s="109"/>
    </row>
    <row r="458" spans="1:52" ht="5.45" customHeight="1" x14ac:dyDescent="0.45"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  <c r="AV458" s="109"/>
      <c r="AW458" s="109"/>
      <c r="AX458" s="109"/>
      <c r="AY458" s="109"/>
      <c r="AZ458" s="109"/>
    </row>
    <row r="459" spans="1:52" ht="2.4500000000000002" hidden="1" customHeight="1" thickBot="1" x14ac:dyDescent="0.5"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  <c r="AV459" s="109"/>
      <c r="AW459" s="109"/>
      <c r="AX459" s="109"/>
      <c r="AY459" s="109"/>
      <c r="AZ459" s="109"/>
    </row>
    <row r="460" spans="1:52" ht="2.4500000000000002" customHeight="1" x14ac:dyDescent="0.45"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  <c r="AT460" s="109"/>
      <c r="AU460" s="109"/>
      <c r="AV460" s="109"/>
      <c r="AW460" s="109"/>
      <c r="AX460" s="109"/>
      <c r="AY460" s="109"/>
      <c r="AZ460" s="109"/>
    </row>
    <row r="461" spans="1:52" ht="17.25" customHeight="1" x14ac:dyDescent="0.45">
      <c r="J461" s="324" t="s">
        <v>221</v>
      </c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  <c r="AT461" s="109"/>
      <c r="AU461" s="109"/>
      <c r="AV461" s="109"/>
      <c r="AW461" s="109"/>
      <c r="AX461" s="109"/>
      <c r="AY461" s="109"/>
      <c r="AZ461" s="109"/>
    </row>
    <row r="462" spans="1:52" ht="12.75" x14ac:dyDescent="0.2">
      <c r="A462" s="59" t="s">
        <v>381</v>
      </c>
      <c r="G462" s="4" t="s">
        <v>211</v>
      </c>
      <c r="H462" s="82" t="s">
        <v>210</v>
      </c>
      <c r="I462" s="16" t="s">
        <v>237</v>
      </c>
      <c r="J462" s="16" t="s">
        <v>0</v>
      </c>
      <c r="K462" s="149" t="s">
        <v>381</v>
      </c>
      <c r="L462" s="149"/>
      <c r="M462" s="149"/>
      <c r="N462" s="149"/>
      <c r="O462" s="59"/>
      <c r="P462" s="81" t="s">
        <v>211</v>
      </c>
      <c r="Q462" s="16" t="s">
        <v>212</v>
      </c>
      <c r="R462" s="16" t="s">
        <v>237</v>
      </c>
      <c r="S462" s="15" t="s">
        <v>0</v>
      </c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  <c r="AT462" s="109"/>
      <c r="AU462" s="109"/>
      <c r="AV462" s="109"/>
      <c r="AW462" s="109"/>
      <c r="AX462" s="109"/>
      <c r="AY462" s="109"/>
      <c r="AZ462" s="109"/>
    </row>
    <row r="463" spans="1:52" ht="12.75" x14ac:dyDescent="0.2">
      <c r="A463" s="743"/>
      <c r="B463" s="744"/>
      <c r="C463" s="744"/>
      <c r="D463" s="744"/>
      <c r="E463" s="744"/>
      <c r="F463" s="745"/>
      <c r="G463" s="419"/>
      <c r="H463" s="330"/>
      <c r="I463" s="363">
        <v>0</v>
      </c>
      <c r="J463" s="329">
        <f>SUM(G463*H463*I463%)</f>
        <v>0</v>
      </c>
      <c r="K463" s="739"/>
      <c r="L463" s="740"/>
      <c r="M463" s="740"/>
      <c r="N463" s="740"/>
      <c r="O463" s="741"/>
      <c r="P463" s="420"/>
      <c r="Q463" s="336"/>
      <c r="R463" s="402">
        <v>0</v>
      </c>
      <c r="S463" s="97">
        <f t="shared" ref="S463:S496" si="27">SUM(Q463*R463%*P463)</f>
        <v>0</v>
      </c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  <c r="AT463" s="109"/>
      <c r="AU463" s="109"/>
      <c r="AV463" s="109"/>
      <c r="AW463" s="109"/>
      <c r="AX463" s="109"/>
      <c r="AY463" s="109"/>
      <c r="AZ463" s="109"/>
    </row>
    <row r="464" spans="1:52" ht="12.75" x14ac:dyDescent="0.2">
      <c r="A464" s="743"/>
      <c r="B464" s="744"/>
      <c r="C464" s="744"/>
      <c r="D464" s="744"/>
      <c r="E464" s="744"/>
      <c r="F464" s="745"/>
      <c r="G464" s="419"/>
      <c r="H464" s="331"/>
      <c r="I464" s="364">
        <v>0</v>
      </c>
      <c r="J464" s="97">
        <f>SUM(G464*H464*I464%)</f>
        <v>0</v>
      </c>
      <c r="K464" s="739"/>
      <c r="L464" s="740"/>
      <c r="M464" s="740"/>
      <c r="N464" s="740"/>
      <c r="O464" s="741"/>
      <c r="P464" s="421"/>
      <c r="Q464" s="332"/>
      <c r="R464" s="403">
        <v>0</v>
      </c>
      <c r="S464" s="97">
        <f t="shared" si="27"/>
        <v>0</v>
      </c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  <c r="AT464" s="109"/>
      <c r="AU464" s="109"/>
      <c r="AV464" s="109"/>
      <c r="AW464" s="109"/>
      <c r="AX464" s="109"/>
      <c r="AY464" s="109"/>
      <c r="AZ464" s="109"/>
    </row>
    <row r="465" spans="1:52" ht="12.75" x14ac:dyDescent="0.2">
      <c r="A465" s="743"/>
      <c r="B465" s="744"/>
      <c r="C465" s="744"/>
      <c r="D465" s="744"/>
      <c r="E465" s="744"/>
      <c r="F465" s="745"/>
      <c r="G465" s="419"/>
      <c r="H465" s="331"/>
      <c r="I465" s="364">
        <v>0</v>
      </c>
      <c r="J465" s="329">
        <f t="shared" ref="J465:J496" si="28">SUM(G465*H465*I465%)</f>
        <v>0</v>
      </c>
      <c r="K465" s="739"/>
      <c r="L465" s="740"/>
      <c r="M465" s="740"/>
      <c r="N465" s="740"/>
      <c r="O465" s="741"/>
      <c r="P465" s="422"/>
      <c r="Q465" s="332"/>
      <c r="R465" s="403">
        <v>0</v>
      </c>
      <c r="S465" s="97">
        <f t="shared" si="27"/>
        <v>0</v>
      </c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  <c r="AT465" s="109"/>
      <c r="AU465" s="109"/>
      <c r="AV465" s="109"/>
      <c r="AW465" s="109"/>
      <c r="AX465" s="109"/>
      <c r="AY465" s="109"/>
      <c r="AZ465" s="109"/>
    </row>
    <row r="466" spans="1:52" ht="12.75" x14ac:dyDescent="0.2">
      <c r="A466" s="743"/>
      <c r="B466" s="744"/>
      <c r="C466" s="744"/>
      <c r="D466" s="744"/>
      <c r="E466" s="744"/>
      <c r="F466" s="745"/>
      <c r="G466" s="419"/>
      <c r="H466" s="331"/>
      <c r="I466" s="364">
        <v>0</v>
      </c>
      <c r="J466" s="97">
        <f t="shared" si="28"/>
        <v>0</v>
      </c>
      <c r="K466" s="739"/>
      <c r="L466" s="740"/>
      <c r="M466" s="740"/>
      <c r="N466" s="740"/>
      <c r="O466" s="741"/>
      <c r="P466" s="421"/>
      <c r="Q466" s="332"/>
      <c r="R466" s="403">
        <v>0</v>
      </c>
      <c r="S466" s="97">
        <f t="shared" si="27"/>
        <v>0</v>
      </c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  <c r="AT466" s="109"/>
      <c r="AU466" s="109"/>
      <c r="AV466" s="109"/>
      <c r="AW466" s="109"/>
      <c r="AX466" s="109"/>
      <c r="AY466" s="109"/>
      <c r="AZ466" s="109"/>
    </row>
    <row r="467" spans="1:52" ht="12.75" x14ac:dyDescent="0.2">
      <c r="A467" s="743"/>
      <c r="B467" s="744"/>
      <c r="C467" s="744"/>
      <c r="D467" s="744"/>
      <c r="E467" s="744"/>
      <c r="F467" s="745"/>
      <c r="G467" s="419"/>
      <c r="H467" s="331"/>
      <c r="I467" s="364">
        <v>0</v>
      </c>
      <c r="J467" s="329">
        <f t="shared" si="28"/>
        <v>0</v>
      </c>
      <c r="K467" s="739"/>
      <c r="L467" s="740"/>
      <c r="M467" s="740"/>
      <c r="N467" s="740"/>
      <c r="O467" s="741"/>
      <c r="P467" s="422"/>
      <c r="Q467" s="332"/>
      <c r="R467" s="403">
        <v>0</v>
      </c>
      <c r="S467" s="97">
        <f t="shared" si="27"/>
        <v>0</v>
      </c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  <c r="AT467" s="109"/>
      <c r="AU467" s="109"/>
      <c r="AV467" s="109"/>
      <c r="AW467" s="109"/>
      <c r="AX467" s="109"/>
      <c r="AY467" s="109"/>
      <c r="AZ467" s="109"/>
    </row>
    <row r="468" spans="1:52" ht="12.75" x14ac:dyDescent="0.2">
      <c r="A468" s="743"/>
      <c r="B468" s="744"/>
      <c r="C468" s="744"/>
      <c r="D468" s="744"/>
      <c r="E468" s="744"/>
      <c r="F468" s="745"/>
      <c r="G468" s="419"/>
      <c r="H468" s="331"/>
      <c r="I468" s="364">
        <v>0</v>
      </c>
      <c r="J468" s="97">
        <f t="shared" si="28"/>
        <v>0</v>
      </c>
      <c r="K468" s="739"/>
      <c r="L468" s="740"/>
      <c r="M468" s="740"/>
      <c r="N468" s="740"/>
      <c r="O468" s="741"/>
      <c r="P468" s="421"/>
      <c r="Q468" s="332"/>
      <c r="R468" s="403">
        <v>0</v>
      </c>
      <c r="S468" s="97">
        <f t="shared" si="27"/>
        <v>0</v>
      </c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  <c r="AV468" s="109"/>
      <c r="AW468" s="109"/>
      <c r="AX468" s="109"/>
      <c r="AY468" s="109"/>
      <c r="AZ468" s="109"/>
    </row>
    <row r="469" spans="1:52" ht="12.75" x14ac:dyDescent="0.2">
      <c r="A469" s="743"/>
      <c r="B469" s="744"/>
      <c r="C469" s="744"/>
      <c r="D469" s="744"/>
      <c r="E469" s="744"/>
      <c r="F469" s="745"/>
      <c r="G469" s="419"/>
      <c r="H469" s="331"/>
      <c r="I469" s="364">
        <v>0</v>
      </c>
      <c r="J469" s="329">
        <f t="shared" si="28"/>
        <v>0</v>
      </c>
      <c r="K469" s="739"/>
      <c r="L469" s="740"/>
      <c r="M469" s="740"/>
      <c r="N469" s="740"/>
      <c r="O469" s="741"/>
      <c r="P469" s="422"/>
      <c r="Q469" s="332"/>
      <c r="R469" s="403">
        <v>0</v>
      </c>
      <c r="S469" s="97">
        <f t="shared" si="27"/>
        <v>0</v>
      </c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  <c r="AT469" s="109"/>
      <c r="AU469" s="109"/>
      <c r="AV469" s="109"/>
      <c r="AW469" s="109"/>
      <c r="AX469" s="109"/>
      <c r="AY469" s="109"/>
      <c r="AZ469" s="109"/>
    </row>
    <row r="470" spans="1:52" ht="12.75" x14ac:dyDescent="0.2">
      <c r="A470" s="743"/>
      <c r="B470" s="744"/>
      <c r="C470" s="744"/>
      <c r="D470" s="744"/>
      <c r="E470" s="744"/>
      <c r="F470" s="745"/>
      <c r="G470" s="419"/>
      <c r="H470" s="331"/>
      <c r="I470" s="364">
        <v>0</v>
      </c>
      <c r="J470" s="97">
        <f t="shared" si="28"/>
        <v>0</v>
      </c>
      <c r="K470" s="739"/>
      <c r="L470" s="740"/>
      <c r="M470" s="740"/>
      <c r="N470" s="740"/>
      <c r="O470" s="741"/>
      <c r="P470" s="421"/>
      <c r="Q470" s="332"/>
      <c r="R470" s="403">
        <v>0</v>
      </c>
      <c r="S470" s="97">
        <f t="shared" si="27"/>
        <v>0</v>
      </c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  <c r="AT470" s="109"/>
      <c r="AU470" s="109"/>
      <c r="AV470" s="109"/>
      <c r="AW470" s="109"/>
      <c r="AX470" s="109"/>
      <c r="AY470" s="109"/>
      <c r="AZ470" s="109"/>
    </row>
    <row r="471" spans="1:52" ht="12.75" x14ac:dyDescent="0.2">
      <c r="A471" s="743"/>
      <c r="B471" s="744"/>
      <c r="C471" s="744"/>
      <c r="D471" s="744"/>
      <c r="E471" s="744"/>
      <c r="F471" s="745"/>
      <c r="G471" s="419"/>
      <c r="H471" s="331"/>
      <c r="I471" s="364">
        <v>0</v>
      </c>
      <c r="J471" s="329">
        <f t="shared" si="28"/>
        <v>0</v>
      </c>
      <c r="K471" s="739"/>
      <c r="L471" s="740"/>
      <c r="M471" s="740"/>
      <c r="N471" s="740"/>
      <c r="O471" s="741"/>
      <c r="P471" s="422"/>
      <c r="Q471" s="332"/>
      <c r="R471" s="403">
        <v>0</v>
      </c>
      <c r="S471" s="97">
        <f t="shared" si="27"/>
        <v>0</v>
      </c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  <c r="AT471" s="109"/>
      <c r="AU471" s="109"/>
      <c r="AV471" s="109"/>
      <c r="AW471" s="109"/>
      <c r="AX471" s="109"/>
      <c r="AY471" s="109"/>
      <c r="AZ471" s="109"/>
    </row>
    <row r="472" spans="1:52" ht="12.75" x14ac:dyDescent="0.2">
      <c r="A472" s="743"/>
      <c r="B472" s="744"/>
      <c r="C472" s="744"/>
      <c r="D472" s="744"/>
      <c r="E472" s="744"/>
      <c r="F472" s="745"/>
      <c r="G472" s="419"/>
      <c r="H472" s="331"/>
      <c r="I472" s="364">
        <v>0</v>
      </c>
      <c r="J472" s="97">
        <f t="shared" si="28"/>
        <v>0</v>
      </c>
      <c r="K472" s="739"/>
      <c r="L472" s="740"/>
      <c r="M472" s="740"/>
      <c r="N472" s="740"/>
      <c r="O472" s="741"/>
      <c r="P472" s="421"/>
      <c r="Q472" s="332"/>
      <c r="R472" s="403">
        <v>0</v>
      </c>
      <c r="S472" s="97">
        <f t="shared" si="27"/>
        <v>0</v>
      </c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  <c r="AT472" s="109"/>
      <c r="AU472" s="109"/>
      <c r="AV472" s="109"/>
      <c r="AW472" s="109"/>
      <c r="AX472" s="109"/>
      <c r="AY472" s="109"/>
      <c r="AZ472" s="109"/>
    </row>
    <row r="473" spans="1:52" ht="12.75" x14ac:dyDescent="0.2">
      <c r="A473" s="743"/>
      <c r="B473" s="744"/>
      <c r="C473" s="744"/>
      <c r="D473" s="744"/>
      <c r="E473" s="744"/>
      <c r="F473" s="745"/>
      <c r="G473" s="419"/>
      <c r="H473" s="331"/>
      <c r="I473" s="364">
        <v>0</v>
      </c>
      <c r="J473" s="329">
        <f t="shared" si="28"/>
        <v>0</v>
      </c>
      <c r="K473" s="739"/>
      <c r="L473" s="740"/>
      <c r="M473" s="740"/>
      <c r="N473" s="740"/>
      <c r="O473" s="741"/>
      <c r="P473" s="422"/>
      <c r="Q473" s="332"/>
      <c r="R473" s="403">
        <v>0</v>
      </c>
      <c r="S473" s="97">
        <f t="shared" si="27"/>
        <v>0</v>
      </c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  <c r="AS473" s="109"/>
      <c r="AT473" s="109"/>
      <c r="AU473" s="109"/>
      <c r="AV473" s="109"/>
      <c r="AW473" s="109"/>
      <c r="AX473" s="109"/>
      <c r="AY473" s="109"/>
      <c r="AZ473" s="109"/>
    </row>
    <row r="474" spans="1:52" ht="12.75" x14ac:dyDescent="0.2">
      <c r="A474" s="743"/>
      <c r="B474" s="744"/>
      <c r="C474" s="744"/>
      <c r="D474" s="744"/>
      <c r="E474" s="744"/>
      <c r="F474" s="745"/>
      <c r="G474" s="419"/>
      <c r="H474" s="331"/>
      <c r="I474" s="364">
        <v>0</v>
      </c>
      <c r="J474" s="97">
        <f t="shared" si="28"/>
        <v>0</v>
      </c>
      <c r="K474" s="739"/>
      <c r="L474" s="740"/>
      <c r="M474" s="740"/>
      <c r="N474" s="740"/>
      <c r="O474" s="741"/>
      <c r="P474" s="421"/>
      <c r="Q474" s="332"/>
      <c r="R474" s="403">
        <v>0</v>
      </c>
      <c r="S474" s="97">
        <f t="shared" si="27"/>
        <v>0</v>
      </c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  <c r="AT474" s="109"/>
      <c r="AU474" s="109"/>
      <c r="AV474" s="109"/>
      <c r="AW474" s="109"/>
      <c r="AX474" s="109"/>
      <c r="AY474" s="109"/>
      <c r="AZ474" s="109"/>
    </row>
    <row r="475" spans="1:52" ht="12.75" x14ac:dyDescent="0.2">
      <c r="A475" s="743"/>
      <c r="B475" s="744"/>
      <c r="C475" s="744"/>
      <c r="D475" s="744"/>
      <c r="E475" s="744"/>
      <c r="F475" s="745"/>
      <c r="G475" s="419"/>
      <c r="H475" s="331"/>
      <c r="I475" s="364">
        <v>0</v>
      </c>
      <c r="J475" s="329">
        <f t="shared" si="28"/>
        <v>0</v>
      </c>
      <c r="K475" s="739"/>
      <c r="L475" s="740"/>
      <c r="M475" s="740"/>
      <c r="N475" s="740"/>
      <c r="O475" s="741"/>
      <c r="P475" s="422"/>
      <c r="Q475" s="332"/>
      <c r="R475" s="403">
        <v>0</v>
      </c>
      <c r="S475" s="97">
        <f t="shared" si="27"/>
        <v>0</v>
      </c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  <c r="AS475" s="109"/>
      <c r="AT475" s="109"/>
      <c r="AU475" s="109"/>
      <c r="AV475" s="109"/>
      <c r="AW475" s="109"/>
      <c r="AX475" s="109"/>
      <c r="AY475" s="109"/>
      <c r="AZ475" s="109"/>
    </row>
    <row r="476" spans="1:52" ht="12.75" x14ac:dyDescent="0.2">
      <c r="A476" s="743"/>
      <c r="B476" s="744"/>
      <c r="C476" s="744"/>
      <c r="D476" s="744"/>
      <c r="E476" s="744"/>
      <c r="F476" s="745"/>
      <c r="G476" s="419"/>
      <c r="H476" s="331"/>
      <c r="I476" s="364">
        <v>0</v>
      </c>
      <c r="J476" s="97">
        <f t="shared" si="28"/>
        <v>0</v>
      </c>
      <c r="K476" s="739"/>
      <c r="L476" s="740"/>
      <c r="M476" s="740"/>
      <c r="N476" s="740"/>
      <c r="O476" s="741"/>
      <c r="P476" s="421"/>
      <c r="Q476" s="332"/>
      <c r="R476" s="403">
        <v>0</v>
      </c>
      <c r="S476" s="97">
        <f t="shared" si="27"/>
        <v>0</v>
      </c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  <c r="AS476" s="109"/>
      <c r="AT476" s="109"/>
      <c r="AU476" s="109"/>
      <c r="AV476" s="109"/>
      <c r="AW476" s="109"/>
      <c r="AX476" s="109"/>
      <c r="AY476" s="109"/>
      <c r="AZ476" s="109"/>
    </row>
    <row r="477" spans="1:52" ht="12.75" x14ac:dyDescent="0.2">
      <c r="A477" s="743"/>
      <c r="B477" s="744"/>
      <c r="C477" s="744"/>
      <c r="D477" s="744"/>
      <c r="E477" s="744"/>
      <c r="F477" s="745"/>
      <c r="G477" s="419"/>
      <c r="H477" s="331"/>
      <c r="I477" s="364">
        <v>0</v>
      </c>
      <c r="J477" s="329">
        <f t="shared" si="28"/>
        <v>0</v>
      </c>
      <c r="K477" s="739"/>
      <c r="L477" s="740"/>
      <c r="M477" s="740"/>
      <c r="N477" s="740"/>
      <c r="O477" s="741"/>
      <c r="P477" s="422"/>
      <c r="Q477" s="332"/>
      <c r="R477" s="403">
        <v>0</v>
      </c>
      <c r="S477" s="97">
        <f t="shared" si="27"/>
        <v>0</v>
      </c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  <c r="AS477" s="109"/>
      <c r="AT477" s="109"/>
      <c r="AU477" s="109"/>
      <c r="AV477" s="109"/>
      <c r="AW477" s="109"/>
      <c r="AX477" s="109"/>
      <c r="AY477" s="109"/>
      <c r="AZ477" s="109"/>
    </row>
    <row r="478" spans="1:52" ht="12.75" x14ac:dyDescent="0.2">
      <c r="A478" s="743"/>
      <c r="B478" s="744"/>
      <c r="C478" s="744"/>
      <c r="D478" s="744"/>
      <c r="E478" s="744"/>
      <c r="F478" s="745"/>
      <c r="G478" s="419"/>
      <c r="H478" s="331"/>
      <c r="I478" s="364">
        <v>0</v>
      </c>
      <c r="J478" s="97">
        <f t="shared" si="28"/>
        <v>0</v>
      </c>
      <c r="K478" s="739"/>
      <c r="L478" s="740"/>
      <c r="M478" s="740"/>
      <c r="N478" s="740"/>
      <c r="O478" s="741"/>
      <c r="P478" s="421"/>
      <c r="Q478" s="332"/>
      <c r="R478" s="403">
        <v>0</v>
      </c>
      <c r="S478" s="97">
        <f t="shared" si="27"/>
        <v>0</v>
      </c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  <c r="AS478" s="109"/>
      <c r="AT478" s="109"/>
      <c r="AU478" s="109"/>
      <c r="AV478" s="109"/>
      <c r="AW478" s="109"/>
      <c r="AX478" s="109"/>
      <c r="AY478" s="109"/>
      <c r="AZ478" s="109"/>
    </row>
    <row r="479" spans="1:52" ht="12.75" x14ac:dyDescent="0.2">
      <c r="A479" s="743"/>
      <c r="B479" s="744"/>
      <c r="C479" s="744"/>
      <c r="D479" s="744"/>
      <c r="E479" s="744"/>
      <c r="F479" s="745"/>
      <c r="G479" s="419"/>
      <c r="H479" s="331"/>
      <c r="I479" s="364">
        <v>0</v>
      </c>
      <c r="J479" s="329">
        <f t="shared" si="28"/>
        <v>0</v>
      </c>
      <c r="K479" s="739"/>
      <c r="L479" s="740"/>
      <c r="M479" s="740"/>
      <c r="N479" s="740"/>
      <c r="O479" s="741"/>
      <c r="P479" s="423"/>
      <c r="Q479" s="332"/>
      <c r="R479" s="403">
        <v>0</v>
      </c>
      <c r="S479" s="97">
        <f t="shared" si="27"/>
        <v>0</v>
      </c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  <c r="AS479" s="109"/>
      <c r="AT479" s="109"/>
      <c r="AU479" s="109"/>
      <c r="AV479" s="109"/>
      <c r="AW479" s="109"/>
      <c r="AX479" s="109"/>
      <c r="AY479" s="109"/>
      <c r="AZ479" s="109"/>
    </row>
    <row r="480" spans="1:52" ht="12.75" x14ac:dyDescent="0.2">
      <c r="A480" s="743"/>
      <c r="B480" s="744"/>
      <c r="C480" s="744"/>
      <c r="D480" s="744"/>
      <c r="E480" s="744"/>
      <c r="F480" s="745"/>
      <c r="G480" s="419"/>
      <c r="H480" s="330"/>
      <c r="I480" s="363">
        <v>0</v>
      </c>
      <c r="J480" s="97">
        <f t="shared" si="28"/>
        <v>0</v>
      </c>
      <c r="K480" s="739"/>
      <c r="L480" s="740"/>
      <c r="M480" s="740"/>
      <c r="N480" s="740"/>
      <c r="O480" s="741"/>
      <c r="P480" s="420"/>
      <c r="Q480" s="336"/>
      <c r="R480" s="402">
        <v>0</v>
      </c>
      <c r="S480" s="97">
        <f t="shared" si="27"/>
        <v>0</v>
      </c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  <c r="AS480" s="109"/>
      <c r="AT480" s="109"/>
      <c r="AU480" s="109"/>
      <c r="AV480" s="109"/>
      <c r="AW480" s="109"/>
      <c r="AX480" s="109"/>
      <c r="AY480" s="109"/>
      <c r="AZ480" s="109"/>
    </row>
    <row r="481" spans="1:52" ht="12.75" x14ac:dyDescent="0.2">
      <c r="A481" s="743"/>
      <c r="B481" s="744"/>
      <c r="C481" s="744"/>
      <c r="D481" s="744"/>
      <c r="E481" s="744"/>
      <c r="F481" s="745"/>
      <c r="G481" s="419"/>
      <c r="H481" s="331"/>
      <c r="I481" s="364">
        <v>0</v>
      </c>
      <c r="J481" s="329">
        <f t="shared" si="28"/>
        <v>0</v>
      </c>
      <c r="K481" s="739"/>
      <c r="L481" s="740"/>
      <c r="M481" s="740"/>
      <c r="N481" s="740"/>
      <c r="O481" s="741"/>
      <c r="P481" s="421"/>
      <c r="Q481" s="332"/>
      <c r="R481" s="403">
        <v>0</v>
      </c>
      <c r="S481" s="97">
        <f t="shared" si="27"/>
        <v>0</v>
      </c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  <c r="AS481" s="109"/>
      <c r="AT481" s="109"/>
      <c r="AU481" s="109"/>
      <c r="AV481" s="109"/>
      <c r="AW481" s="109"/>
      <c r="AX481" s="109"/>
      <c r="AY481" s="109"/>
      <c r="AZ481" s="109"/>
    </row>
    <row r="482" spans="1:52" ht="12.75" x14ac:dyDescent="0.2">
      <c r="A482" s="743"/>
      <c r="B482" s="744"/>
      <c r="C482" s="744"/>
      <c r="D482" s="744"/>
      <c r="E482" s="744"/>
      <c r="F482" s="745"/>
      <c r="G482" s="419"/>
      <c r="H482" s="331"/>
      <c r="I482" s="364">
        <v>0</v>
      </c>
      <c r="J482" s="97">
        <f t="shared" si="28"/>
        <v>0</v>
      </c>
      <c r="K482" s="739"/>
      <c r="L482" s="740"/>
      <c r="M482" s="740"/>
      <c r="N482" s="740"/>
      <c r="O482" s="741"/>
      <c r="P482" s="422"/>
      <c r="Q482" s="332"/>
      <c r="R482" s="403">
        <v>0</v>
      </c>
      <c r="S482" s="97">
        <f t="shared" si="27"/>
        <v>0</v>
      </c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09"/>
      <c r="AT482" s="109"/>
      <c r="AU482" s="109"/>
      <c r="AV482" s="109"/>
      <c r="AW482" s="109"/>
      <c r="AX482" s="109"/>
      <c r="AY482" s="109"/>
      <c r="AZ482" s="109"/>
    </row>
    <row r="483" spans="1:52" ht="12.75" x14ac:dyDescent="0.2">
      <c r="A483" s="743"/>
      <c r="B483" s="744"/>
      <c r="C483" s="744"/>
      <c r="D483" s="744"/>
      <c r="E483" s="744"/>
      <c r="F483" s="745"/>
      <c r="G483" s="419"/>
      <c r="H483" s="331"/>
      <c r="I483" s="364">
        <v>0</v>
      </c>
      <c r="J483" s="329">
        <f t="shared" si="28"/>
        <v>0</v>
      </c>
      <c r="K483" s="739"/>
      <c r="L483" s="740"/>
      <c r="M483" s="740"/>
      <c r="N483" s="740"/>
      <c r="O483" s="741"/>
      <c r="P483" s="421"/>
      <c r="Q483" s="332"/>
      <c r="R483" s="403">
        <v>0</v>
      </c>
      <c r="S483" s="97">
        <f t="shared" si="27"/>
        <v>0</v>
      </c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09"/>
      <c r="AT483" s="109"/>
      <c r="AU483" s="109"/>
      <c r="AV483" s="109"/>
      <c r="AW483" s="109"/>
      <c r="AX483" s="109"/>
      <c r="AY483" s="109"/>
      <c r="AZ483" s="109"/>
    </row>
    <row r="484" spans="1:52" ht="12.75" x14ac:dyDescent="0.2">
      <c r="A484" s="743"/>
      <c r="B484" s="744"/>
      <c r="C484" s="744"/>
      <c r="D484" s="744"/>
      <c r="E484" s="744"/>
      <c r="F484" s="745"/>
      <c r="G484" s="419"/>
      <c r="H484" s="331"/>
      <c r="I484" s="364">
        <v>0</v>
      </c>
      <c r="J484" s="97">
        <f t="shared" si="28"/>
        <v>0</v>
      </c>
      <c r="K484" s="739"/>
      <c r="L484" s="740"/>
      <c r="M484" s="740"/>
      <c r="N484" s="740"/>
      <c r="O484" s="741"/>
      <c r="P484" s="422"/>
      <c r="Q484" s="332"/>
      <c r="R484" s="403">
        <v>0</v>
      </c>
      <c r="S484" s="97">
        <f t="shared" si="27"/>
        <v>0</v>
      </c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09"/>
      <c r="AT484" s="109"/>
      <c r="AU484" s="109"/>
      <c r="AV484" s="109"/>
      <c r="AW484" s="109"/>
      <c r="AX484" s="109"/>
      <c r="AY484" s="109"/>
      <c r="AZ484" s="109"/>
    </row>
    <row r="485" spans="1:52" ht="12.75" x14ac:dyDescent="0.2">
      <c r="A485" s="743"/>
      <c r="B485" s="744"/>
      <c r="C485" s="744"/>
      <c r="D485" s="744"/>
      <c r="E485" s="744"/>
      <c r="F485" s="745"/>
      <c r="G485" s="419"/>
      <c r="H485" s="331"/>
      <c r="I485" s="364">
        <v>0</v>
      </c>
      <c r="J485" s="329">
        <f t="shared" si="28"/>
        <v>0</v>
      </c>
      <c r="K485" s="739"/>
      <c r="L485" s="740"/>
      <c r="M485" s="740"/>
      <c r="N485" s="740"/>
      <c r="O485" s="741"/>
      <c r="P485" s="421"/>
      <c r="Q485" s="332"/>
      <c r="R485" s="403">
        <v>0</v>
      </c>
      <c r="S485" s="97">
        <f t="shared" si="27"/>
        <v>0</v>
      </c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09"/>
      <c r="AT485" s="109"/>
      <c r="AU485" s="109"/>
      <c r="AV485" s="109"/>
      <c r="AW485" s="109"/>
      <c r="AX485" s="109"/>
      <c r="AY485" s="109"/>
      <c r="AZ485" s="109"/>
    </row>
    <row r="486" spans="1:52" ht="12.75" x14ac:dyDescent="0.2">
      <c r="A486" s="743"/>
      <c r="B486" s="744"/>
      <c r="C486" s="744"/>
      <c r="D486" s="744"/>
      <c r="E486" s="744"/>
      <c r="F486" s="745"/>
      <c r="G486" s="419"/>
      <c r="H486" s="331"/>
      <c r="I486" s="364">
        <v>0</v>
      </c>
      <c r="J486" s="97">
        <f t="shared" si="28"/>
        <v>0</v>
      </c>
      <c r="K486" s="739"/>
      <c r="L486" s="740"/>
      <c r="M486" s="740"/>
      <c r="N486" s="740"/>
      <c r="O486" s="741"/>
      <c r="P486" s="422"/>
      <c r="Q486" s="332"/>
      <c r="R486" s="403">
        <v>0</v>
      </c>
      <c r="S486" s="97">
        <f t="shared" si="27"/>
        <v>0</v>
      </c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09"/>
      <c r="AT486" s="109"/>
      <c r="AU486" s="109"/>
      <c r="AV486" s="109"/>
      <c r="AW486" s="109"/>
      <c r="AX486" s="109"/>
      <c r="AY486" s="109"/>
      <c r="AZ486" s="109"/>
    </row>
    <row r="487" spans="1:52" ht="12.75" x14ac:dyDescent="0.2">
      <c r="A487" s="743"/>
      <c r="B487" s="744"/>
      <c r="C487" s="744"/>
      <c r="D487" s="744"/>
      <c r="E487" s="744"/>
      <c r="F487" s="745"/>
      <c r="G487" s="419"/>
      <c r="H487" s="331"/>
      <c r="I487" s="364">
        <v>0</v>
      </c>
      <c r="J487" s="329">
        <f t="shared" si="28"/>
        <v>0</v>
      </c>
      <c r="K487" s="739"/>
      <c r="L487" s="740"/>
      <c r="M487" s="740"/>
      <c r="N487" s="740"/>
      <c r="O487" s="741"/>
      <c r="P487" s="421"/>
      <c r="Q487" s="332"/>
      <c r="R487" s="403">
        <v>0</v>
      </c>
      <c r="S487" s="97">
        <f t="shared" si="27"/>
        <v>0</v>
      </c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  <c r="AS487" s="109"/>
      <c r="AT487" s="109"/>
      <c r="AU487" s="109"/>
      <c r="AV487" s="109"/>
      <c r="AW487" s="109"/>
      <c r="AX487" s="109"/>
      <c r="AY487" s="109"/>
      <c r="AZ487" s="109"/>
    </row>
    <row r="488" spans="1:52" ht="12.75" x14ac:dyDescent="0.2">
      <c r="A488" s="743"/>
      <c r="B488" s="744"/>
      <c r="C488" s="744"/>
      <c r="D488" s="744"/>
      <c r="E488" s="744"/>
      <c r="F488" s="745"/>
      <c r="G488" s="419"/>
      <c r="H488" s="331"/>
      <c r="I488" s="364">
        <v>0</v>
      </c>
      <c r="J488" s="97">
        <f t="shared" si="28"/>
        <v>0</v>
      </c>
      <c r="K488" s="739"/>
      <c r="L488" s="740"/>
      <c r="M488" s="740"/>
      <c r="N488" s="740"/>
      <c r="O488" s="741"/>
      <c r="P488" s="422"/>
      <c r="Q488" s="332"/>
      <c r="R488" s="403">
        <v>0</v>
      </c>
      <c r="S488" s="97">
        <f t="shared" si="27"/>
        <v>0</v>
      </c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  <c r="AS488" s="109"/>
      <c r="AT488" s="109"/>
      <c r="AU488" s="109"/>
      <c r="AV488" s="109"/>
      <c r="AW488" s="109"/>
      <c r="AX488" s="109"/>
      <c r="AY488" s="109"/>
      <c r="AZ488" s="109"/>
    </row>
    <row r="489" spans="1:52" ht="12.75" x14ac:dyDescent="0.2">
      <c r="A489" s="743"/>
      <c r="B489" s="744"/>
      <c r="C489" s="744"/>
      <c r="D489" s="744"/>
      <c r="E489" s="744"/>
      <c r="F489" s="745"/>
      <c r="G489" s="419"/>
      <c r="H489" s="331"/>
      <c r="I489" s="364">
        <v>0</v>
      </c>
      <c r="J489" s="329">
        <f t="shared" si="28"/>
        <v>0</v>
      </c>
      <c r="K489" s="739"/>
      <c r="L489" s="740"/>
      <c r="M489" s="740"/>
      <c r="N489" s="740"/>
      <c r="O489" s="741"/>
      <c r="P489" s="421"/>
      <c r="Q489" s="332"/>
      <c r="R489" s="403">
        <v>0</v>
      </c>
      <c r="S489" s="97">
        <f t="shared" si="27"/>
        <v>0</v>
      </c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  <c r="AS489" s="109"/>
      <c r="AT489" s="109"/>
      <c r="AU489" s="109"/>
      <c r="AV489" s="109"/>
      <c r="AW489" s="109"/>
      <c r="AX489" s="109"/>
      <c r="AY489" s="109"/>
      <c r="AZ489" s="109"/>
    </row>
    <row r="490" spans="1:52" ht="12.75" x14ac:dyDescent="0.2">
      <c r="A490" s="743"/>
      <c r="B490" s="744"/>
      <c r="C490" s="744"/>
      <c r="D490" s="744"/>
      <c r="E490" s="744"/>
      <c r="F490" s="745"/>
      <c r="G490" s="419"/>
      <c r="H490" s="331"/>
      <c r="I490" s="364">
        <v>0</v>
      </c>
      <c r="J490" s="97">
        <f t="shared" si="28"/>
        <v>0</v>
      </c>
      <c r="K490" s="739"/>
      <c r="L490" s="740"/>
      <c r="M490" s="740"/>
      <c r="N490" s="740"/>
      <c r="O490" s="741"/>
      <c r="P490" s="422"/>
      <c r="Q490" s="332"/>
      <c r="R490" s="403">
        <v>0</v>
      </c>
      <c r="S490" s="97">
        <f t="shared" si="27"/>
        <v>0</v>
      </c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  <c r="AS490" s="109"/>
      <c r="AT490" s="109"/>
      <c r="AU490" s="109"/>
      <c r="AV490" s="109"/>
      <c r="AW490" s="109"/>
      <c r="AX490" s="109"/>
      <c r="AY490" s="109"/>
      <c r="AZ490" s="109"/>
    </row>
    <row r="491" spans="1:52" ht="12.75" x14ac:dyDescent="0.2">
      <c r="A491" s="743"/>
      <c r="B491" s="744"/>
      <c r="C491" s="744"/>
      <c r="D491" s="744"/>
      <c r="E491" s="744"/>
      <c r="F491" s="745"/>
      <c r="G491" s="419"/>
      <c r="H491" s="331"/>
      <c r="I491" s="364">
        <v>0</v>
      </c>
      <c r="J491" s="329">
        <f t="shared" si="28"/>
        <v>0</v>
      </c>
      <c r="K491" s="739"/>
      <c r="L491" s="740"/>
      <c r="M491" s="740"/>
      <c r="N491" s="740"/>
      <c r="O491" s="741"/>
      <c r="P491" s="421"/>
      <c r="Q491" s="332"/>
      <c r="R491" s="403">
        <v>0</v>
      </c>
      <c r="S491" s="97">
        <f t="shared" si="27"/>
        <v>0</v>
      </c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  <c r="AS491" s="109"/>
      <c r="AT491" s="109"/>
      <c r="AU491" s="109"/>
      <c r="AV491" s="109"/>
      <c r="AW491" s="109"/>
      <c r="AX491" s="109"/>
      <c r="AY491" s="109"/>
      <c r="AZ491" s="109"/>
    </row>
    <row r="492" spans="1:52" ht="12.75" x14ac:dyDescent="0.2">
      <c r="A492" s="743"/>
      <c r="B492" s="744"/>
      <c r="C492" s="744"/>
      <c r="D492" s="744"/>
      <c r="E492" s="744"/>
      <c r="F492" s="745"/>
      <c r="G492" s="419"/>
      <c r="H492" s="331"/>
      <c r="I492" s="364">
        <v>0</v>
      </c>
      <c r="J492" s="97">
        <f t="shared" si="28"/>
        <v>0</v>
      </c>
      <c r="K492" s="739"/>
      <c r="L492" s="740"/>
      <c r="M492" s="740"/>
      <c r="N492" s="740"/>
      <c r="O492" s="741"/>
      <c r="P492" s="422"/>
      <c r="Q492" s="332"/>
      <c r="R492" s="403">
        <v>0</v>
      </c>
      <c r="S492" s="97">
        <f t="shared" si="27"/>
        <v>0</v>
      </c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  <c r="AS492" s="109"/>
      <c r="AT492" s="109"/>
      <c r="AU492" s="109"/>
      <c r="AV492" s="109"/>
      <c r="AW492" s="109"/>
      <c r="AX492" s="109"/>
      <c r="AY492" s="109"/>
      <c r="AZ492" s="109"/>
    </row>
    <row r="493" spans="1:52" ht="12.75" x14ac:dyDescent="0.2">
      <c r="A493" s="743"/>
      <c r="B493" s="744"/>
      <c r="C493" s="744"/>
      <c r="D493" s="744"/>
      <c r="E493" s="744"/>
      <c r="F493" s="745"/>
      <c r="G493" s="419"/>
      <c r="H493" s="331"/>
      <c r="I493" s="364">
        <v>0</v>
      </c>
      <c r="J493" s="329">
        <f t="shared" si="28"/>
        <v>0</v>
      </c>
      <c r="K493" s="739"/>
      <c r="L493" s="740"/>
      <c r="M493" s="740"/>
      <c r="N493" s="740"/>
      <c r="O493" s="741"/>
      <c r="P493" s="421"/>
      <c r="Q493" s="332"/>
      <c r="R493" s="403">
        <v>0</v>
      </c>
      <c r="S493" s="97">
        <f t="shared" si="27"/>
        <v>0</v>
      </c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  <c r="AS493" s="109"/>
      <c r="AT493" s="109"/>
      <c r="AU493" s="109"/>
      <c r="AV493" s="109"/>
      <c r="AW493" s="109"/>
      <c r="AX493" s="109"/>
      <c r="AY493" s="109"/>
      <c r="AZ493" s="109"/>
    </row>
    <row r="494" spans="1:52" ht="12.75" x14ac:dyDescent="0.2">
      <c r="A494" s="743"/>
      <c r="B494" s="744"/>
      <c r="C494" s="744"/>
      <c r="D494" s="744"/>
      <c r="E494" s="744"/>
      <c r="F494" s="745"/>
      <c r="G494" s="419"/>
      <c r="H494" s="331"/>
      <c r="I494" s="364">
        <v>0</v>
      </c>
      <c r="J494" s="97">
        <f t="shared" si="28"/>
        <v>0</v>
      </c>
      <c r="K494" s="739"/>
      <c r="L494" s="740"/>
      <c r="M494" s="740"/>
      <c r="N494" s="740"/>
      <c r="O494" s="741"/>
      <c r="P494" s="422"/>
      <c r="Q494" s="332"/>
      <c r="R494" s="403">
        <v>0</v>
      </c>
      <c r="S494" s="97">
        <f t="shared" si="27"/>
        <v>0</v>
      </c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  <c r="AS494" s="109"/>
      <c r="AT494" s="109"/>
      <c r="AU494" s="109"/>
      <c r="AV494" s="109"/>
      <c r="AW494" s="109"/>
      <c r="AX494" s="109"/>
      <c r="AY494" s="109"/>
      <c r="AZ494" s="109"/>
    </row>
    <row r="495" spans="1:52" ht="12.75" x14ac:dyDescent="0.2">
      <c r="A495" s="743"/>
      <c r="B495" s="744"/>
      <c r="C495" s="744"/>
      <c r="D495" s="744"/>
      <c r="E495" s="744"/>
      <c r="F495" s="745"/>
      <c r="G495" s="419"/>
      <c r="H495" s="331"/>
      <c r="I495" s="364">
        <v>0</v>
      </c>
      <c r="J495" s="329">
        <f t="shared" si="28"/>
        <v>0</v>
      </c>
      <c r="K495" s="739"/>
      <c r="L495" s="740"/>
      <c r="M495" s="740"/>
      <c r="N495" s="740"/>
      <c r="O495" s="741"/>
      <c r="P495" s="421"/>
      <c r="Q495" s="332"/>
      <c r="R495" s="403">
        <v>0</v>
      </c>
      <c r="S495" s="97">
        <f t="shared" si="27"/>
        <v>0</v>
      </c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  <c r="AS495" s="109"/>
      <c r="AT495" s="109"/>
      <c r="AU495" s="109"/>
      <c r="AV495" s="109"/>
      <c r="AW495" s="109"/>
      <c r="AX495" s="109"/>
      <c r="AY495" s="109"/>
      <c r="AZ495" s="109"/>
    </row>
    <row r="496" spans="1:52" ht="12.6" customHeight="1" x14ac:dyDescent="0.2">
      <c r="A496" s="743"/>
      <c r="B496" s="744"/>
      <c r="C496" s="744"/>
      <c r="D496" s="744"/>
      <c r="E496" s="744"/>
      <c r="F496" s="745"/>
      <c r="G496" s="419"/>
      <c r="H496" s="331"/>
      <c r="I496" s="364">
        <v>0</v>
      </c>
      <c r="J496" s="97">
        <f t="shared" si="28"/>
        <v>0</v>
      </c>
      <c r="K496" s="739"/>
      <c r="L496" s="740"/>
      <c r="M496" s="740"/>
      <c r="N496" s="740"/>
      <c r="O496" s="741"/>
      <c r="P496" s="423"/>
      <c r="Q496" s="332"/>
      <c r="R496" s="403">
        <v>0</v>
      </c>
      <c r="S496" s="97">
        <f t="shared" si="27"/>
        <v>0</v>
      </c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09"/>
      <c r="AT496" s="109"/>
      <c r="AU496" s="109"/>
      <c r="AV496" s="109"/>
      <c r="AW496" s="109"/>
      <c r="AX496" s="109"/>
      <c r="AY496" s="109"/>
      <c r="AZ496" s="109"/>
    </row>
    <row r="497" spans="1:52" ht="13.5" thickBot="1" x14ac:dyDescent="0.25">
      <c r="A497" s="109"/>
      <c r="B497" s="109"/>
      <c r="C497" s="109"/>
      <c r="D497" s="109"/>
      <c r="E497" s="109"/>
      <c r="F497" s="109"/>
      <c r="G497" s="109"/>
      <c r="H497" s="109"/>
      <c r="I497" s="156" t="s">
        <v>0</v>
      </c>
      <c r="J497" s="677">
        <f>SUM(J463:J496)</f>
        <v>0</v>
      </c>
      <c r="K497" s="157"/>
      <c r="L497" s="157"/>
      <c r="M497" s="157"/>
      <c r="N497" s="157"/>
      <c r="O497" s="157"/>
      <c r="P497" s="157"/>
      <c r="Q497" s="157"/>
      <c r="R497" s="156" t="s">
        <v>0</v>
      </c>
      <c r="S497" s="677">
        <f>SUM(S463:S496)</f>
        <v>0</v>
      </c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09"/>
      <c r="AT497" s="109"/>
      <c r="AU497" s="109"/>
      <c r="AV497" s="109"/>
      <c r="AW497" s="109"/>
      <c r="AX497" s="109"/>
      <c r="AY497" s="109"/>
      <c r="AZ497" s="109"/>
    </row>
    <row r="498" spans="1:52" ht="8.25" customHeight="1" x14ac:dyDescent="0.2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09"/>
      <c r="AT498" s="109"/>
      <c r="AU498" s="109"/>
      <c r="AV498" s="109"/>
      <c r="AW498" s="109"/>
      <c r="AX498" s="109"/>
      <c r="AY498" s="109"/>
      <c r="AZ498" s="109"/>
    </row>
    <row r="499" spans="1:52" ht="26.25" customHeight="1" thickBot="1" x14ac:dyDescent="0.25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56" t="s">
        <v>207</v>
      </c>
      <c r="Q499" s="156" t="s">
        <v>0</v>
      </c>
      <c r="R499" s="657">
        <f>SUM(J497+S497)</f>
        <v>0</v>
      </c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09"/>
      <c r="AT499" s="109"/>
      <c r="AU499" s="109"/>
      <c r="AV499" s="109"/>
      <c r="AW499" s="109"/>
      <c r="AX499" s="109"/>
      <c r="AY499" s="109"/>
      <c r="AZ499" s="109"/>
    </row>
    <row r="500" spans="1:52" ht="19.5" customHeight="1" x14ac:dyDescent="0.45"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09"/>
      <c r="AT500" s="109"/>
      <c r="AU500" s="109"/>
      <c r="AV500" s="109"/>
      <c r="AW500" s="109"/>
      <c r="AX500" s="109"/>
      <c r="AY500" s="109"/>
      <c r="AZ500" s="109"/>
    </row>
    <row r="501" spans="1:52" ht="17.25" customHeight="1" x14ac:dyDescent="0.45">
      <c r="A501" s="30"/>
      <c r="S501" s="31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  <c r="AS501" s="109"/>
      <c r="AT501" s="109"/>
      <c r="AU501" s="109"/>
      <c r="AV501" s="109"/>
      <c r="AW501" s="109"/>
      <c r="AX501" s="109"/>
      <c r="AY501" s="109"/>
      <c r="AZ501" s="109"/>
    </row>
    <row r="502" spans="1:52" ht="18" customHeight="1" x14ac:dyDescent="0.25">
      <c r="A502" s="404"/>
      <c r="B502" s="404"/>
      <c r="C502" s="404"/>
      <c r="D502" s="404"/>
      <c r="E502" s="404"/>
      <c r="F502" s="404"/>
      <c r="G502" s="407" t="s">
        <v>290</v>
      </c>
      <c r="H502" s="407"/>
      <c r="I502" s="407"/>
      <c r="J502" s="407"/>
      <c r="K502" s="407"/>
      <c r="L502" s="407"/>
      <c r="M502" s="404"/>
      <c r="N502" s="324" t="s">
        <v>221</v>
      </c>
      <c r="O502" s="404"/>
      <c r="P502" s="404"/>
      <c r="Q502" s="404"/>
      <c r="R502" s="404"/>
      <c r="S502" s="404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  <c r="AS502" s="109"/>
      <c r="AT502" s="109"/>
      <c r="AU502" s="109"/>
      <c r="AV502" s="109"/>
      <c r="AW502" s="109"/>
      <c r="AX502" s="109"/>
      <c r="AY502" s="109"/>
      <c r="AZ502" s="109"/>
    </row>
    <row r="503" spans="1:52" ht="12.75" x14ac:dyDescent="0.2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  <c r="AS503" s="109"/>
      <c r="AT503" s="109"/>
      <c r="AU503" s="109"/>
      <c r="AV503" s="109"/>
      <c r="AW503" s="109"/>
      <c r="AX503" s="109"/>
      <c r="AY503" s="109"/>
      <c r="AZ503" s="109"/>
    </row>
    <row r="504" spans="1:52" ht="12.75" x14ac:dyDescent="0.2">
      <c r="A504" s="408"/>
      <c r="B504" s="406"/>
      <c r="C504" s="158"/>
      <c r="D504" s="158"/>
      <c r="E504" s="158"/>
      <c r="F504" s="158"/>
      <c r="G504" s="158"/>
      <c r="H504" s="323" t="s">
        <v>287</v>
      </c>
      <c r="I504" s="158"/>
      <c r="J504" s="158"/>
      <c r="K504" s="158"/>
      <c r="L504" s="158"/>
      <c r="M504" s="159"/>
      <c r="N504" s="160" t="s">
        <v>288</v>
      </c>
      <c r="O504" s="160" t="s">
        <v>289</v>
      </c>
      <c r="P504" s="160" t="s">
        <v>291</v>
      </c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  <c r="AS504" s="109"/>
      <c r="AT504" s="109"/>
      <c r="AU504" s="109"/>
      <c r="AV504" s="109"/>
      <c r="AW504" s="109"/>
      <c r="AX504" s="109"/>
      <c r="AY504" s="109"/>
      <c r="AZ504" s="109"/>
    </row>
    <row r="505" spans="1:52" ht="12.75" x14ac:dyDescent="0.2">
      <c r="A505" s="408"/>
      <c r="B505" s="710"/>
      <c r="C505" s="711"/>
      <c r="D505" s="711"/>
      <c r="E505" s="711"/>
      <c r="F505" s="711"/>
      <c r="G505" s="711"/>
      <c r="H505" s="711"/>
      <c r="I505" s="711"/>
      <c r="J505" s="711"/>
      <c r="K505" s="711"/>
      <c r="L505" s="711"/>
      <c r="M505" s="712"/>
      <c r="N505" s="316"/>
      <c r="O505" s="332"/>
      <c r="P505" s="227">
        <f>SUM(N505*O505)</f>
        <v>0</v>
      </c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  <c r="AS505" s="109"/>
      <c r="AT505" s="109"/>
      <c r="AU505" s="109"/>
      <c r="AV505" s="109"/>
      <c r="AW505" s="109"/>
      <c r="AX505" s="109"/>
      <c r="AY505" s="109"/>
      <c r="AZ505" s="109"/>
    </row>
    <row r="506" spans="1:52" ht="12.75" x14ac:dyDescent="0.2">
      <c r="A506" s="408"/>
      <c r="B506" s="710"/>
      <c r="C506" s="711"/>
      <c r="D506" s="711"/>
      <c r="E506" s="711"/>
      <c r="F506" s="711"/>
      <c r="G506" s="711"/>
      <c r="H506" s="711"/>
      <c r="I506" s="711"/>
      <c r="J506" s="711"/>
      <c r="K506" s="711"/>
      <c r="L506" s="711"/>
      <c r="M506" s="712"/>
      <c r="N506" s="333"/>
      <c r="O506" s="334"/>
      <c r="P506" s="322">
        <f>SUM(N506*O506)</f>
        <v>0</v>
      </c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  <c r="AS506" s="109"/>
      <c r="AT506" s="109"/>
      <c r="AU506" s="109"/>
      <c r="AV506" s="109"/>
      <c r="AW506" s="109"/>
      <c r="AX506" s="109"/>
      <c r="AY506" s="109"/>
      <c r="AZ506" s="109"/>
    </row>
    <row r="507" spans="1:52" ht="12.75" x14ac:dyDescent="0.2">
      <c r="A507" s="408"/>
      <c r="B507" s="738"/>
      <c r="C507" s="711"/>
      <c r="D507" s="711"/>
      <c r="E507" s="711"/>
      <c r="F507" s="711"/>
      <c r="G507" s="711"/>
      <c r="H507" s="711"/>
      <c r="I507" s="711"/>
      <c r="J507" s="711"/>
      <c r="K507" s="711"/>
      <c r="L507" s="711"/>
      <c r="M507" s="712"/>
      <c r="N507" s="316"/>
      <c r="O507" s="332"/>
      <c r="P507" s="227">
        <f>SUM(N507*O507)</f>
        <v>0</v>
      </c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  <c r="AS507" s="109"/>
      <c r="AT507" s="109"/>
      <c r="AU507" s="109"/>
      <c r="AV507" s="109"/>
      <c r="AW507" s="109"/>
      <c r="AX507" s="109"/>
      <c r="AY507" s="109"/>
      <c r="AZ507" s="109"/>
    </row>
    <row r="508" spans="1:52" ht="12.75" x14ac:dyDescent="0.2">
      <c r="A508" s="408"/>
      <c r="B508" s="710"/>
      <c r="C508" s="711"/>
      <c r="D508" s="711"/>
      <c r="E508" s="711"/>
      <c r="F508" s="711"/>
      <c r="G508" s="711"/>
      <c r="H508" s="711"/>
      <c r="I508" s="711"/>
      <c r="J508" s="711"/>
      <c r="K508" s="711"/>
      <c r="L508" s="711"/>
      <c r="M508" s="712"/>
      <c r="N508" s="333"/>
      <c r="O508" s="334"/>
      <c r="P508" s="227">
        <f t="shared" ref="P508:P535" si="29">SUM(N508*O508)</f>
        <v>0</v>
      </c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9"/>
      <c r="AS508" s="109"/>
      <c r="AT508" s="109"/>
      <c r="AU508" s="109"/>
      <c r="AV508" s="109"/>
      <c r="AW508" s="109"/>
      <c r="AX508" s="109"/>
      <c r="AY508" s="109"/>
      <c r="AZ508" s="109"/>
    </row>
    <row r="509" spans="1:52" ht="12.75" x14ac:dyDescent="0.2">
      <c r="A509" s="408"/>
      <c r="B509" s="710"/>
      <c r="C509" s="711"/>
      <c r="D509" s="711"/>
      <c r="E509" s="711"/>
      <c r="F509" s="711"/>
      <c r="G509" s="711"/>
      <c r="H509" s="711"/>
      <c r="I509" s="711"/>
      <c r="J509" s="711"/>
      <c r="K509" s="711"/>
      <c r="L509" s="711"/>
      <c r="M509" s="712"/>
      <c r="N509" s="316"/>
      <c r="O509" s="332"/>
      <c r="P509" s="322">
        <f t="shared" si="29"/>
        <v>0</v>
      </c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  <c r="AS509" s="109"/>
      <c r="AT509" s="109"/>
      <c r="AU509" s="109"/>
      <c r="AV509" s="109"/>
      <c r="AW509" s="109"/>
      <c r="AX509" s="109"/>
      <c r="AY509" s="109"/>
      <c r="AZ509" s="109"/>
    </row>
    <row r="510" spans="1:52" ht="12.75" x14ac:dyDescent="0.2">
      <c r="A510" s="408"/>
      <c r="B510" s="710"/>
      <c r="C510" s="711"/>
      <c r="D510" s="711"/>
      <c r="E510" s="711"/>
      <c r="F510" s="711"/>
      <c r="G510" s="711"/>
      <c r="H510" s="711"/>
      <c r="I510" s="711"/>
      <c r="J510" s="711"/>
      <c r="K510" s="711"/>
      <c r="L510" s="711"/>
      <c r="M510" s="712"/>
      <c r="N510" s="333"/>
      <c r="O510" s="334"/>
      <c r="P510" s="227">
        <f t="shared" si="29"/>
        <v>0</v>
      </c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  <c r="AS510" s="109"/>
      <c r="AT510" s="109"/>
      <c r="AU510" s="109"/>
      <c r="AV510" s="109"/>
      <c r="AW510" s="109"/>
      <c r="AX510" s="109"/>
      <c r="AY510" s="109"/>
      <c r="AZ510" s="109"/>
    </row>
    <row r="511" spans="1:52" ht="12.75" x14ac:dyDescent="0.2">
      <c r="A511" s="408"/>
      <c r="B511" s="710"/>
      <c r="C511" s="711"/>
      <c r="D511" s="711"/>
      <c r="E511" s="711"/>
      <c r="F511" s="711"/>
      <c r="G511" s="711"/>
      <c r="H511" s="711"/>
      <c r="I511" s="711"/>
      <c r="J511" s="711"/>
      <c r="K511" s="711"/>
      <c r="L511" s="711"/>
      <c r="M511" s="712"/>
      <c r="N511" s="316"/>
      <c r="O511" s="332"/>
      <c r="P511" s="227">
        <f t="shared" si="29"/>
        <v>0</v>
      </c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  <c r="AS511" s="109"/>
      <c r="AT511" s="109"/>
      <c r="AU511" s="109"/>
      <c r="AV511" s="109"/>
      <c r="AW511" s="109"/>
      <c r="AX511" s="109"/>
      <c r="AY511" s="109"/>
      <c r="AZ511" s="109"/>
    </row>
    <row r="512" spans="1:52" ht="12.75" x14ac:dyDescent="0.2">
      <c r="A512" s="408"/>
      <c r="B512" s="710"/>
      <c r="C512" s="711"/>
      <c r="D512" s="711"/>
      <c r="E512" s="711"/>
      <c r="F512" s="711"/>
      <c r="G512" s="711"/>
      <c r="H512" s="711"/>
      <c r="I512" s="711"/>
      <c r="J512" s="711"/>
      <c r="K512" s="711"/>
      <c r="L512" s="711"/>
      <c r="M512" s="712"/>
      <c r="N512" s="333"/>
      <c r="O512" s="334"/>
      <c r="P512" s="322">
        <f t="shared" si="29"/>
        <v>0</v>
      </c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  <c r="AS512" s="109"/>
      <c r="AT512" s="109"/>
      <c r="AU512" s="109"/>
      <c r="AV512" s="109"/>
      <c r="AW512" s="109"/>
      <c r="AX512" s="109"/>
      <c r="AY512" s="109"/>
      <c r="AZ512" s="109"/>
    </row>
    <row r="513" spans="1:52" ht="12.75" x14ac:dyDescent="0.2">
      <c r="A513" s="408"/>
      <c r="B513" s="710"/>
      <c r="C513" s="711"/>
      <c r="D513" s="711"/>
      <c r="E513" s="711"/>
      <c r="F513" s="711"/>
      <c r="G513" s="711"/>
      <c r="H513" s="711"/>
      <c r="I513" s="711"/>
      <c r="J513" s="711"/>
      <c r="K513" s="711"/>
      <c r="L513" s="711"/>
      <c r="M513" s="712"/>
      <c r="N513" s="316"/>
      <c r="O513" s="332"/>
      <c r="P513" s="227">
        <f t="shared" si="29"/>
        <v>0</v>
      </c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  <c r="AS513" s="109"/>
      <c r="AT513" s="109"/>
      <c r="AU513" s="109"/>
      <c r="AV513" s="109"/>
      <c r="AW513" s="109"/>
      <c r="AX513" s="109"/>
      <c r="AY513" s="109"/>
      <c r="AZ513" s="109"/>
    </row>
    <row r="514" spans="1:52" ht="12.75" x14ac:dyDescent="0.2">
      <c r="A514" s="408"/>
      <c r="B514" s="710"/>
      <c r="C514" s="711"/>
      <c r="D514" s="711"/>
      <c r="E514" s="711"/>
      <c r="F514" s="711"/>
      <c r="G514" s="711"/>
      <c r="H514" s="711"/>
      <c r="I514" s="711"/>
      <c r="J514" s="711"/>
      <c r="K514" s="711"/>
      <c r="L514" s="711"/>
      <c r="M514" s="712"/>
      <c r="N514" s="333"/>
      <c r="O514" s="334"/>
      <c r="P514" s="227">
        <f t="shared" si="29"/>
        <v>0</v>
      </c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9"/>
      <c r="AS514" s="109"/>
      <c r="AT514" s="109"/>
      <c r="AU514" s="109"/>
      <c r="AV514" s="109"/>
      <c r="AW514" s="109"/>
      <c r="AX514" s="109"/>
      <c r="AY514" s="109"/>
      <c r="AZ514" s="109"/>
    </row>
    <row r="515" spans="1:52" ht="12.75" x14ac:dyDescent="0.2">
      <c r="A515" s="408"/>
      <c r="B515" s="710"/>
      <c r="C515" s="711"/>
      <c r="D515" s="711"/>
      <c r="E515" s="711"/>
      <c r="F515" s="711"/>
      <c r="G515" s="711"/>
      <c r="H515" s="711"/>
      <c r="I515" s="711"/>
      <c r="J515" s="711"/>
      <c r="K515" s="711"/>
      <c r="L515" s="711"/>
      <c r="M515" s="712"/>
      <c r="N515" s="316"/>
      <c r="O515" s="332"/>
      <c r="P515" s="322">
        <f t="shared" si="29"/>
        <v>0</v>
      </c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  <c r="AS515" s="109"/>
      <c r="AT515" s="109"/>
      <c r="AU515" s="109"/>
      <c r="AV515" s="109"/>
      <c r="AW515" s="109"/>
      <c r="AX515" s="109"/>
      <c r="AY515" s="109"/>
      <c r="AZ515" s="109"/>
    </row>
    <row r="516" spans="1:52" ht="12.75" x14ac:dyDescent="0.2">
      <c r="A516" s="408"/>
      <c r="B516" s="710"/>
      <c r="C516" s="711"/>
      <c r="D516" s="711"/>
      <c r="E516" s="711"/>
      <c r="F516" s="711"/>
      <c r="G516" s="711"/>
      <c r="H516" s="711"/>
      <c r="I516" s="711"/>
      <c r="J516" s="711"/>
      <c r="K516" s="711"/>
      <c r="L516" s="711"/>
      <c r="M516" s="712"/>
      <c r="N516" s="333"/>
      <c r="O516" s="334"/>
      <c r="P516" s="227">
        <f t="shared" si="29"/>
        <v>0</v>
      </c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  <c r="AS516" s="109"/>
      <c r="AT516" s="109"/>
      <c r="AU516" s="109"/>
      <c r="AV516" s="109"/>
      <c r="AW516" s="109"/>
      <c r="AX516" s="109"/>
      <c r="AY516" s="109"/>
      <c r="AZ516" s="109"/>
    </row>
    <row r="517" spans="1:52" ht="12.75" x14ac:dyDescent="0.2">
      <c r="A517" s="408"/>
      <c r="B517" s="710"/>
      <c r="C517" s="711"/>
      <c r="D517" s="711"/>
      <c r="E517" s="711"/>
      <c r="F517" s="711"/>
      <c r="G517" s="711"/>
      <c r="H517" s="711"/>
      <c r="I517" s="711"/>
      <c r="J517" s="711"/>
      <c r="K517" s="711"/>
      <c r="L517" s="711"/>
      <c r="M517" s="712"/>
      <c r="N517" s="316"/>
      <c r="O517" s="332"/>
      <c r="P517" s="227">
        <f t="shared" si="29"/>
        <v>0</v>
      </c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  <c r="AS517" s="109"/>
      <c r="AT517" s="109"/>
      <c r="AU517" s="109"/>
      <c r="AV517" s="109"/>
      <c r="AW517" s="109"/>
      <c r="AX517" s="109"/>
      <c r="AY517" s="109"/>
      <c r="AZ517" s="109"/>
    </row>
    <row r="518" spans="1:52" ht="12.75" x14ac:dyDescent="0.2">
      <c r="A518" s="408"/>
      <c r="B518" s="710"/>
      <c r="C518" s="711"/>
      <c r="D518" s="711"/>
      <c r="E518" s="711"/>
      <c r="F518" s="711"/>
      <c r="G518" s="711"/>
      <c r="H518" s="711"/>
      <c r="I518" s="711"/>
      <c r="J518" s="711"/>
      <c r="K518" s="711"/>
      <c r="L518" s="711"/>
      <c r="M518" s="712"/>
      <c r="N518" s="333"/>
      <c r="O518" s="334"/>
      <c r="P518" s="322">
        <f t="shared" si="29"/>
        <v>0</v>
      </c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  <c r="AS518" s="109"/>
      <c r="AT518" s="109"/>
      <c r="AU518" s="109"/>
      <c r="AV518" s="109"/>
      <c r="AW518" s="109"/>
      <c r="AX518" s="109"/>
      <c r="AY518" s="109"/>
      <c r="AZ518" s="109"/>
    </row>
    <row r="519" spans="1:52" ht="12.75" x14ac:dyDescent="0.2">
      <c r="A519" s="408"/>
      <c r="B519" s="710"/>
      <c r="C519" s="711"/>
      <c r="D519" s="711"/>
      <c r="E519" s="711"/>
      <c r="F519" s="711"/>
      <c r="G519" s="711"/>
      <c r="H519" s="711"/>
      <c r="I519" s="711"/>
      <c r="J519" s="711"/>
      <c r="K519" s="711"/>
      <c r="L519" s="711"/>
      <c r="M519" s="712"/>
      <c r="N519" s="316"/>
      <c r="O519" s="332"/>
      <c r="P519" s="227">
        <f t="shared" si="29"/>
        <v>0</v>
      </c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  <c r="AS519" s="109"/>
      <c r="AT519" s="109"/>
      <c r="AU519" s="109"/>
      <c r="AV519" s="109"/>
      <c r="AW519" s="109"/>
      <c r="AX519" s="109"/>
      <c r="AY519" s="109"/>
      <c r="AZ519" s="109"/>
    </row>
    <row r="520" spans="1:52" ht="12.75" x14ac:dyDescent="0.2">
      <c r="A520" s="408"/>
      <c r="B520" s="710"/>
      <c r="C520" s="711"/>
      <c r="D520" s="711"/>
      <c r="E520" s="711"/>
      <c r="F520" s="711"/>
      <c r="G520" s="711"/>
      <c r="H520" s="711"/>
      <c r="I520" s="711"/>
      <c r="J520" s="711"/>
      <c r="K520" s="711"/>
      <c r="L520" s="711"/>
      <c r="M520" s="712"/>
      <c r="N520" s="333"/>
      <c r="O520" s="334"/>
      <c r="P520" s="227">
        <f t="shared" si="29"/>
        <v>0</v>
      </c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  <c r="AS520" s="109"/>
      <c r="AT520" s="109"/>
      <c r="AU520" s="109"/>
      <c r="AV520" s="109"/>
      <c r="AW520" s="109"/>
      <c r="AX520" s="109"/>
      <c r="AY520" s="109"/>
      <c r="AZ520" s="109"/>
    </row>
    <row r="521" spans="1:52" ht="12.75" x14ac:dyDescent="0.2">
      <c r="A521" s="408"/>
      <c r="B521" s="710"/>
      <c r="C521" s="711"/>
      <c r="D521" s="711"/>
      <c r="E521" s="711"/>
      <c r="F521" s="711"/>
      <c r="G521" s="711"/>
      <c r="H521" s="711"/>
      <c r="I521" s="711"/>
      <c r="J521" s="711"/>
      <c r="K521" s="711"/>
      <c r="L521" s="711"/>
      <c r="M521" s="712"/>
      <c r="N521" s="316"/>
      <c r="O521" s="332"/>
      <c r="P521" s="322">
        <f t="shared" si="29"/>
        <v>0</v>
      </c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  <c r="AS521" s="109"/>
      <c r="AT521" s="109"/>
      <c r="AU521" s="109"/>
      <c r="AV521" s="109"/>
      <c r="AW521" s="109"/>
      <c r="AX521" s="109"/>
      <c r="AY521" s="109"/>
      <c r="AZ521" s="109"/>
    </row>
    <row r="522" spans="1:52" ht="12.75" x14ac:dyDescent="0.2">
      <c r="A522" s="408"/>
      <c r="B522" s="710"/>
      <c r="C522" s="711"/>
      <c r="D522" s="711"/>
      <c r="E522" s="711"/>
      <c r="F522" s="711"/>
      <c r="G522" s="711"/>
      <c r="H522" s="711"/>
      <c r="I522" s="711"/>
      <c r="J522" s="711"/>
      <c r="K522" s="711"/>
      <c r="L522" s="711"/>
      <c r="M522" s="712"/>
      <c r="N522" s="333"/>
      <c r="O522" s="334"/>
      <c r="P522" s="227">
        <f t="shared" si="29"/>
        <v>0</v>
      </c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  <c r="AS522" s="109"/>
      <c r="AT522" s="109"/>
      <c r="AU522" s="109"/>
      <c r="AV522" s="109"/>
      <c r="AW522" s="109"/>
      <c r="AX522" s="109"/>
      <c r="AY522" s="109"/>
      <c r="AZ522" s="109"/>
    </row>
    <row r="523" spans="1:52" ht="12.75" x14ac:dyDescent="0.2">
      <c r="A523" s="408"/>
      <c r="B523" s="710"/>
      <c r="C523" s="711"/>
      <c r="D523" s="711"/>
      <c r="E523" s="711"/>
      <c r="F523" s="711"/>
      <c r="G523" s="711"/>
      <c r="H523" s="711"/>
      <c r="I523" s="711"/>
      <c r="J523" s="711"/>
      <c r="K523" s="711"/>
      <c r="L523" s="711"/>
      <c r="M523" s="712"/>
      <c r="N523" s="316"/>
      <c r="O523" s="332"/>
      <c r="P523" s="227">
        <f t="shared" si="29"/>
        <v>0</v>
      </c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  <c r="AS523" s="109"/>
      <c r="AT523" s="109"/>
      <c r="AU523" s="109"/>
      <c r="AV523" s="109"/>
      <c r="AW523" s="109"/>
      <c r="AX523" s="109"/>
      <c r="AY523" s="109"/>
      <c r="AZ523" s="109"/>
    </row>
    <row r="524" spans="1:52" ht="12.75" x14ac:dyDescent="0.2">
      <c r="A524" s="408"/>
      <c r="B524" s="710"/>
      <c r="C524" s="711"/>
      <c r="D524" s="711"/>
      <c r="E524" s="711"/>
      <c r="F524" s="711"/>
      <c r="G524" s="711"/>
      <c r="H524" s="711"/>
      <c r="I524" s="711"/>
      <c r="J524" s="711"/>
      <c r="K524" s="711"/>
      <c r="L524" s="711"/>
      <c r="M524" s="712"/>
      <c r="N524" s="333"/>
      <c r="O524" s="334"/>
      <c r="P524" s="322">
        <f t="shared" si="29"/>
        <v>0</v>
      </c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  <c r="AS524" s="109"/>
      <c r="AT524" s="109"/>
      <c r="AU524" s="109"/>
      <c r="AV524" s="109"/>
      <c r="AW524" s="109"/>
      <c r="AX524" s="109"/>
      <c r="AY524" s="109"/>
      <c r="AZ524" s="109"/>
    </row>
    <row r="525" spans="1:52" ht="12.75" x14ac:dyDescent="0.2">
      <c r="A525" s="408"/>
      <c r="B525" s="710"/>
      <c r="C525" s="711"/>
      <c r="D525" s="711"/>
      <c r="E525" s="711"/>
      <c r="F525" s="711"/>
      <c r="G525" s="711"/>
      <c r="H525" s="711"/>
      <c r="I525" s="711"/>
      <c r="J525" s="711"/>
      <c r="K525" s="711"/>
      <c r="L525" s="711"/>
      <c r="M525" s="712"/>
      <c r="N525" s="316"/>
      <c r="O525" s="332"/>
      <c r="P525" s="227">
        <f t="shared" si="29"/>
        <v>0</v>
      </c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  <c r="AS525" s="109"/>
      <c r="AT525" s="109"/>
      <c r="AU525" s="109"/>
      <c r="AV525" s="109"/>
      <c r="AW525" s="109"/>
      <c r="AX525" s="109"/>
      <c r="AY525" s="109"/>
      <c r="AZ525" s="109"/>
    </row>
    <row r="526" spans="1:52" ht="12.75" x14ac:dyDescent="0.2">
      <c r="A526" s="408"/>
      <c r="B526" s="710"/>
      <c r="C526" s="711"/>
      <c r="D526" s="711"/>
      <c r="E526" s="711"/>
      <c r="F526" s="711"/>
      <c r="G526" s="711"/>
      <c r="H526" s="711"/>
      <c r="I526" s="711"/>
      <c r="J526" s="711"/>
      <c r="K526" s="711"/>
      <c r="L526" s="711"/>
      <c r="M526" s="712"/>
      <c r="N526" s="333"/>
      <c r="O526" s="334"/>
      <c r="P526" s="227">
        <f t="shared" si="29"/>
        <v>0</v>
      </c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  <c r="AS526" s="109"/>
      <c r="AT526" s="109"/>
      <c r="AU526" s="109"/>
      <c r="AV526" s="109"/>
      <c r="AW526" s="109"/>
      <c r="AX526" s="109"/>
      <c r="AY526" s="109"/>
      <c r="AZ526" s="109"/>
    </row>
    <row r="527" spans="1:52" ht="12.75" x14ac:dyDescent="0.2">
      <c r="A527" s="408"/>
      <c r="B527" s="710"/>
      <c r="C527" s="711"/>
      <c r="D527" s="711"/>
      <c r="E527" s="711"/>
      <c r="F527" s="711"/>
      <c r="G527" s="711"/>
      <c r="H527" s="711"/>
      <c r="I527" s="711"/>
      <c r="J527" s="711"/>
      <c r="K527" s="711"/>
      <c r="L527" s="711"/>
      <c r="M527" s="712"/>
      <c r="N527" s="316"/>
      <c r="O527" s="332"/>
      <c r="P527" s="322">
        <f t="shared" si="29"/>
        <v>0</v>
      </c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  <c r="AT527" s="109"/>
      <c r="AU527" s="109"/>
      <c r="AV527" s="109"/>
      <c r="AW527" s="109"/>
      <c r="AX527" s="109"/>
      <c r="AY527" s="109"/>
      <c r="AZ527" s="109"/>
    </row>
    <row r="528" spans="1:52" ht="12.75" x14ac:dyDescent="0.2">
      <c r="A528" s="408"/>
      <c r="B528" s="710"/>
      <c r="C528" s="711"/>
      <c r="D528" s="711"/>
      <c r="E528" s="711"/>
      <c r="F528" s="711"/>
      <c r="G528" s="711"/>
      <c r="H528" s="711"/>
      <c r="I528" s="711"/>
      <c r="J528" s="711"/>
      <c r="K528" s="711"/>
      <c r="L528" s="711"/>
      <c r="M528" s="712"/>
      <c r="N528" s="333"/>
      <c r="O528" s="334"/>
      <c r="P528" s="227">
        <f t="shared" si="29"/>
        <v>0</v>
      </c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  <c r="AS528" s="109"/>
      <c r="AT528" s="109"/>
      <c r="AU528" s="109"/>
      <c r="AV528" s="109"/>
      <c r="AW528" s="109"/>
      <c r="AX528" s="109"/>
      <c r="AY528" s="109"/>
      <c r="AZ528" s="109"/>
    </row>
    <row r="529" spans="1:52" ht="12.75" x14ac:dyDescent="0.2">
      <c r="A529" s="408"/>
      <c r="B529" s="710"/>
      <c r="C529" s="711"/>
      <c r="D529" s="711"/>
      <c r="E529" s="711"/>
      <c r="F529" s="711"/>
      <c r="G529" s="711"/>
      <c r="H529" s="711"/>
      <c r="I529" s="711"/>
      <c r="J529" s="711"/>
      <c r="K529" s="711"/>
      <c r="L529" s="711"/>
      <c r="M529" s="712"/>
      <c r="N529" s="316"/>
      <c r="O529" s="332"/>
      <c r="P529" s="227">
        <f t="shared" si="29"/>
        <v>0</v>
      </c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  <c r="AS529" s="109"/>
      <c r="AT529" s="109"/>
      <c r="AU529" s="109"/>
      <c r="AV529" s="109"/>
      <c r="AW529" s="109"/>
      <c r="AX529" s="109"/>
      <c r="AY529" s="109"/>
      <c r="AZ529" s="109"/>
    </row>
    <row r="530" spans="1:52" ht="12.75" x14ac:dyDescent="0.2">
      <c r="A530" s="408"/>
      <c r="B530" s="710"/>
      <c r="C530" s="711"/>
      <c r="D530" s="711"/>
      <c r="E530" s="711"/>
      <c r="F530" s="711"/>
      <c r="G530" s="711"/>
      <c r="H530" s="711"/>
      <c r="I530" s="711"/>
      <c r="J530" s="711"/>
      <c r="K530" s="711"/>
      <c r="L530" s="711"/>
      <c r="M530" s="712"/>
      <c r="N530" s="333"/>
      <c r="O530" s="334"/>
      <c r="P530" s="322">
        <f t="shared" si="29"/>
        <v>0</v>
      </c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  <c r="AS530" s="109"/>
      <c r="AT530" s="109"/>
      <c r="AU530" s="109"/>
      <c r="AV530" s="109"/>
      <c r="AW530" s="109"/>
      <c r="AX530" s="109"/>
      <c r="AY530" s="109"/>
      <c r="AZ530" s="109"/>
    </row>
    <row r="531" spans="1:52" ht="12.75" x14ac:dyDescent="0.2">
      <c r="A531" s="408"/>
      <c r="B531" s="710"/>
      <c r="C531" s="711"/>
      <c r="D531" s="711"/>
      <c r="E531" s="711"/>
      <c r="F531" s="711"/>
      <c r="G531" s="711"/>
      <c r="H531" s="711"/>
      <c r="I531" s="711"/>
      <c r="J531" s="711"/>
      <c r="K531" s="711"/>
      <c r="L531" s="711"/>
      <c r="M531" s="712"/>
      <c r="N531" s="316"/>
      <c r="O531" s="332"/>
      <c r="P531" s="227">
        <f t="shared" si="29"/>
        <v>0</v>
      </c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  <c r="AS531" s="109"/>
      <c r="AT531" s="109"/>
      <c r="AU531" s="109"/>
      <c r="AV531" s="109"/>
      <c r="AW531" s="109"/>
      <c r="AX531" s="109"/>
      <c r="AY531" s="109"/>
      <c r="AZ531" s="109"/>
    </row>
    <row r="532" spans="1:52" ht="12.75" x14ac:dyDescent="0.2">
      <c r="A532" s="408"/>
      <c r="B532" s="710"/>
      <c r="C532" s="711"/>
      <c r="D532" s="711"/>
      <c r="E532" s="711"/>
      <c r="F532" s="711"/>
      <c r="G532" s="711"/>
      <c r="H532" s="711"/>
      <c r="I532" s="711"/>
      <c r="J532" s="711"/>
      <c r="K532" s="711"/>
      <c r="L532" s="711"/>
      <c r="M532" s="712"/>
      <c r="N532" s="333"/>
      <c r="O532" s="334"/>
      <c r="P532" s="227">
        <f t="shared" si="29"/>
        <v>0</v>
      </c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  <c r="AS532" s="109"/>
      <c r="AT532" s="109"/>
      <c r="AU532" s="109"/>
      <c r="AV532" s="109"/>
      <c r="AW532" s="109"/>
      <c r="AX532" s="109"/>
      <c r="AY532" s="109"/>
      <c r="AZ532" s="109"/>
    </row>
    <row r="533" spans="1:52" ht="12.75" x14ac:dyDescent="0.2">
      <c r="A533" s="408"/>
      <c r="B533" s="710"/>
      <c r="C533" s="711"/>
      <c r="D533" s="711"/>
      <c r="E533" s="711"/>
      <c r="F533" s="711"/>
      <c r="G533" s="711"/>
      <c r="H533" s="711"/>
      <c r="I533" s="711"/>
      <c r="J533" s="711"/>
      <c r="K533" s="711"/>
      <c r="L533" s="711"/>
      <c r="M533" s="712"/>
      <c r="N533" s="316"/>
      <c r="O533" s="332"/>
      <c r="P533" s="322">
        <f t="shared" si="29"/>
        <v>0</v>
      </c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  <c r="AS533" s="109"/>
      <c r="AT533" s="109"/>
      <c r="AU533" s="109"/>
      <c r="AV533" s="109"/>
      <c r="AW533" s="109"/>
      <c r="AX533" s="109"/>
      <c r="AY533" s="109"/>
      <c r="AZ533" s="109"/>
    </row>
    <row r="534" spans="1:52" ht="12.75" x14ac:dyDescent="0.2">
      <c r="A534" s="408"/>
      <c r="B534" s="710"/>
      <c r="C534" s="711"/>
      <c r="D534" s="711"/>
      <c r="E534" s="711"/>
      <c r="F534" s="711"/>
      <c r="G534" s="711"/>
      <c r="H534" s="711"/>
      <c r="I534" s="711"/>
      <c r="J534" s="711"/>
      <c r="K534" s="711"/>
      <c r="L534" s="711"/>
      <c r="M534" s="712"/>
      <c r="N534" s="333"/>
      <c r="O534" s="334"/>
      <c r="P534" s="227">
        <f t="shared" si="29"/>
        <v>0</v>
      </c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  <c r="AS534" s="109"/>
      <c r="AT534" s="109"/>
      <c r="AU534" s="109"/>
      <c r="AV534" s="109"/>
      <c r="AW534" s="109"/>
      <c r="AX534" s="109"/>
      <c r="AY534" s="109"/>
      <c r="AZ534" s="109"/>
    </row>
    <row r="535" spans="1:52" ht="12.75" x14ac:dyDescent="0.2">
      <c r="A535" s="408"/>
      <c r="B535" s="710"/>
      <c r="C535" s="711"/>
      <c r="D535" s="711"/>
      <c r="E535" s="711"/>
      <c r="F535" s="711"/>
      <c r="G535" s="711"/>
      <c r="H535" s="711"/>
      <c r="I535" s="711"/>
      <c r="J535" s="711"/>
      <c r="K535" s="711"/>
      <c r="L535" s="711"/>
      <c r="M535" s="712"/>
      <c r="N535" s="316"/>
      <c r="O535" s="332"/>
      <c r="P535" s="227">
        <f t="shared" si="29"/>
        <v>0</v>
      </c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  <c r="AS535" s="109"/>
      <c r="AT535" s="109"/>
      <c r="AU535" s="109"/>
      <c r="AV535" s="109"/>
      <c r="AW535" s="109"/>
      <c r="AX535" s="109"/>
      <c r="AY535" s="109"/>
      <c r="AZ535" s="109"/>
    </row>
    <row r="536" spans="1:52" ht="12.75" x14ac:dyDescent="0.2">
      <c r="A536" s="408"/>
      <c r="B536" s="710"/>
      <c r="C536" s="711"/>
      <c r="D536" s="711"/>
      <c r="E536" s="711"/>
      <c r="F536" s="711"/>
      <c r="G536" s="711"/>
      <c r="H536" s="711"/>
      <c r="I536" s="711"/>
      <c r="J536" s="711"/>
      <c r="K536" s="711"/>
      <c r="L536" s="711"/>
      <c r="M536" s="712"/>
      <c r="N536" s="335"/>
      <c r="O536" s="336"/>
      <c r="P536" s="227">
        <f>SUM(N536*O536)</f>
        <v>0</v>
      </c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  <c r="AS536" s="109"/>
      <c r="AT536" s="109"/>
      <c r="AU536" s="109"/>
      <c r="AV536" s="109"/>
      <c r="AW536" s="109"/>
      <c r="AX536" s="109"/>
      <c r="AY536" s="109"/>
      <c r="AZ536" s="109"/>
    </row>
    <row r="537" spans="1:52" ht="12.75" x14ac:dyDescent="0.2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29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  <c r="AT537" s="109"/>
      <c r="AU537" s="109"/>
      <c r="AV537" s="109"/>
      <c r="AW537" s="109"/>
      <c r="AX537" s="109"/>
      <c r="AY537" s="109"/>
      <c r="AZ537" s="109"/>
    </row>
    <row r="538" spans="1:52" ht="13.5" thickBot="1" x14ac:dyDescent="0.25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56" t="s">
        <v>0</v>
      </c>
      <c r="P538" s="674">
        <f>SUM(P505:P536)</f>
        <v>0</v>
      </c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  <c r="AS538" s="109"/>
      <c r="AT538" s="109"/>
      <c r="AU538" s="109"/>
      <c r="AV538" s="109"/>
      <c r="AW538" s="109"/>
      <c r="AX538" s="109"/>
      <c r="AY538" s="109"/>
      <c r="AZ538" s="109"/>
    </row>
    <row r="539" spans="1:52" ht="12.75" x14ac:dyDescent="0.2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  <c r="AT539" s="109"/>
      <c r="AU539" s="109"/>
      <c r="AV539" s="109"/>
      <c r="AW539" s="109"/>
      <c r="AX539" s="109"/>
      <c r="AY539" s="109"/>
      <c r="AZ539" s="109"/>
    </row>
    <row r="540" spans="1:52" ht="26.25" customHeight="1" thickBot="1" x14ac:dyDescent="0.25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56" t="s">
        <v>207</v>
      </c>
      <c r="Q540" s="156" t="s">
        <v>0</v>
      </c>
      <c r="R540" s="657">
        <f>SUM(P538)</f>
        <v>0</v>
      </c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  <c r="AS540" s="109"/>
      <c r="AT540" s="109"/>
      <c r="AU540" s="109"/>
      <c r="AV540" s="109"/>
      <c r="AW540" s="109"/>
      <c r="AX540" s="109"/>
      <c r="AY540" s="109"/>
      <c r="AZ540" s="109"/>
    </row>
    <row r="541" spans="1:52" ht="20.25" customHeight="1" x14ac:dyDescent="0.25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61"/>
      <c r="Q541" s="405"/>
      <c r="R541" s="166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  <c r="AS541" s="109"/>
      <c r="AT541" s="109"/>
      <c r="AU541" s="109"/>
      <c r="AV541" s="109"/>
      <c r="AW541" s="109"/>
      <c r="AX541" s="109"/>
      <c r="AY541" s="109"/>
      <c r="AZ541" s="109"/>
    </row>
    <row r="542" spans="1:52" ht="18.75" hidden="1" customHeight="1" thickBot="1" x14ac:dyDescent="0.25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  <c r="AS542" s="109"/>
      <c r="AT542" s="109"/>
      <c r="AU542" s="109"/>
      <c r="AV542" s="109"/>
      <c r="AW542" s="109"/>
      <c r="AX542" s="109"/>
      <c r="AY542" s="109"/>
      <c r="AZ542" s="109"/>
    </row>
    <row r="543" spans="1:52" ht="2.4500000000000002" customHeight="1" x14ac:dyDescent="0.45"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  <c r="AT543" s="109"/>
      <c r="AU543" s="109"/>
      <c r="AV543" s="109"/>
      <c r="AW543" s="109"/>
      <c r="AX543" s="109"/>
      <c r="AY543" s="109"/>
      <c r="AZ543" s="109"/>
    </row>
    <row r="544" spans="1:52" ht="23.25" customHeight="1" x14ac:dyDescent="0.25">
      <c r="B544" s="35" t="s">
        <v>501</v>
      </c>
      <c r="C544" s="5"/>
      <c r="D544" s="5"/>
      <c r="E544" s="5"/>
      <c r="F544" s="5"/>
      <c r="G544" s="36"/>
      <c r="N544" s="96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  <c r="AS544" s="109"/>
      <c r="AT544" s="109"/>
      <c r="AU544" s="109"/>
      <c r="AV544" s="109"/>
      <c r="AW544" s="109"/>
      <c r="AX544" s="109"/>
      <c r="AY544" s="109"/>
      <c r="AZ544" s="109"/>
    </row>
    <row r="545" spans="1:52" ht="15.75" x14ac:dyDescent="0.25">
      <c r="B545" s="35" t="s">
        <v>64</v>
      </c>
      <c r="C545" s="5"/>
      <c r="D545" s="5"/>
      <c r="E545" s="5"/>
      <c r="F545" s="5"/>
      <c r="G545" s="5"/>
      <c r="I545" s="80"/>
      <c r="M545" s="324" t="s">
        <v>221</v>
      </c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  <c r="AS545" s="109"/>
      <c r="AT545" s="109"/>
      <c r="AU545" s="109"/>
      <c r="AV545" s="109"/>
      <c r="AW545" s="109"/>
      <c r="AX545" s="109"/>
      <c r="AY545" s="109"/>
      <c r="AZ545" s="109"/>
    </row>
    <row r="546" spans="1:52" ht="15.75" x14ac:dyDescent="0.25">
      <c r="B546" s="35" t="s">
        <v>253</v>
      </c>
      <c r="C546" s="5"/>
      <c r="D546" s="5"/>
      <c r="E546" s="5"/>
      <c r="F546" s="5"/>
      <c r="G546" s="5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9"/>
      <c r="AS546" s="109"/>
      <c r="AT546" s="109"/>
      <c r="AU546" s="109"/>
      <c r="AV546" s="109"/>
      <c r="AW546" s="109"/>
      <c r="AX546" s="109"/>
      <c r="AY546" s="109"/>
      <c r="AZ546" s="109"/>
    </row>
    <row r="547" spans="1:52" ht="12.75" x14ac:dyDescent="0.2">
      <c r="B547" s="5"/>
      <c r="C547" s="5"/>
      <c r="D547" s="5"/>
      <c r="E547" s="5"/>
      <c r="F547" s="5"/>
      <c r="G547" s="5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  <c r="AS547" s="109"/>
      <c r="AT547" s="109"/>
      <c r="AU547" s="109"/>
      <c r="AV547" s="109"/>
      <c r="AW547" s="109"/>
      <c r="AX547" s="109"/>
      <c r="AY547" s="109"/>
      <c r="AZ547" s="109"/>
    </row>
    <row r="548" spans="1:52" ht="12.75" x14ac:dyDescent="0.2">
      <c r="B548" s="5" t="s">
        <v>43</v>
      </c>
      <c r="C548" s="5"/>
      <c r="D548" s="5"/>
      <c r="E548" s="5"/>
      <c r="F548" s="5"/>
      <c r="G548" s="5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  <c r="AS548" s="109"/>
      <c r="AT548" s="109"/>
      <c r="AU548" s="109"/>
      <c r="AV548" s="109"/>
      <c r="AW548" s="109"/>
      <c r="AX548" s="109"/>
      <c r="AY548" s="109"/>
      <c r="AZ548" s="109"/>
    </row>
    <row r="549" spans="1:52" ht="12.75" x14ac:dyDescent="0.2">
      <c r="B549" s="5" t="s">
        <v>29</v>
      </c>
      <c r="C549" s="5"/>
      <c r="D549" s="5"/>
      <c r="E549" s="5"/>
      <c r="F549" s="5"/>
      <c r="G549" s="5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  <c r="AS549" s="109"/>
      <c r="AT549" s="109"/>
      <c r="AU549" s="109"/>
      <c r="AV549" s="109"/>
      <c r="AW549" s="109"/>
      <c r="AX549" s="109"/>
      <c r="AY549" s="109"/>
      <c r="AZ549" s="109"/>
    </row>
    <row r="550" spans="1:52" ht="12.75" x14ac:dyDescent="0.2">
      <c r="B550" s="5"/>
      <c r="C550" s="5"/>
      <c r="D550" s="5"/>
      <c r="E550" s="5"/>
      <c r="F550" s="5"/>
      <c r="G550" s="5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  <c r="AS550" s="109"/>
      <c r="AT550" s="109"/>
      <c r="AU550" s="109"/>
      <c r="AV550" s="109"/>
      <c r="AW550" s="109"/>
      <c r="AX550" s="109"/>
      <c r="AY550" s="109"/>
      <c r="AZ550" s="109"/>
    </row>
    <row r="551" spans="1:52" ht="12.75" x14ac:dyDescent="0.2">
      <c r="B551" s="59" t="s">
        <v>138</v>
      </c>
      <c r="C551" s="59"/>
      <c r="D551" s="5"/>
      <c r="E551" s="5"/>
      <c r="F551" s="5"/>
      <c r="G551" s="5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  <c r="AS551" s="109"/>
      <c r="AT551" s="109"/>
      <c r="AU551" s="109"/>
      <c r="AV551" s="109"/>
      <c r="AW551" s="109"/>
      <c r="AX551" s="109"/>
      <c r="AY551" s="109"/>
      <c r="AZ551" s="109"/>
    </row>
    <row r="552" spans="1:52" ht="12.75" x14ac:dyDescent="0.2">
      <c r="B552" s="59"/>
      <c r="C552" s="59"/>
      <c r="D552" s="5"/>
      <c r="E552" s="5"/>
      <c r="F552" s="5"/>
      <c r="G552" s="5"/>
      <c r="I552" s="15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9"/>
      <c r="AS552" s="109"/>
      <c r="AT552" s="109"/>
      <c r="AU552" s="109"/>
      <c r="AV552" s="109"/>
      <c r="AW552" s="109"/>
      <c r="AX552" s="109"/>
      <c r="AY552" s="109"/>
      <c r="AZ552" s="109"/>
    </row>
    <row r="553" spans="1:52" ht="12.75" x14ac:dyDescent="0.2">
      <c r="B553" s="5" t="s">
        <v>72</v>
      </c>
      <c r="C553" s="5"/>
      <c r="D553" s="5"/>
      <c r="E553" s="5"/>
      <c r="F553" s="5"/>
      <c r="G553" s="5"/>
      <c r="H553" s="15" t="s">
        <v>31</v>
      </c>
      <c r="J553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  <c r="AS553" s="109"/>
      <c r="AT553" s="109"/>
      <c r="AU553" s="109"/>
      <c r="AV553" s="109"/>
      <c r="AW553" s="109"/>
      <c r="AX553" s="109"/>
      <c r="AY553" s="109"/>
      <c r="AZ553" s="109"/>
    </row>
    <row r="554" spans="1:52" ht="12.75" x14ac:dyDescent="0.2">
      <c r="A554" s="41"/>
      <c r="B554" s="409" t="s">
        <v>40</v>
      </c>
      <c r="C554" s="38"/>
      <c r="D554" s="38"/>
      <c r="E554" s="38"/>
      <c r="F554" s="38"/>
      <c r="G554" s="736">
        <v>0.5</v>
      </c>
      <c r="H554" s="737"/>
      <c r="I554" s="376"/>
      <c r="J554" s="16"/>
      <c r="L554" s="737">
        <v>0.5</v>
      </c>
      <c r="M554" s="742"/>
      <c r="N554" s="61" t="s">
        <v>0</v>
      </c>
      <c r="O554" s="737">
        <v>0.1</v>
      </c>
      <c r="P554" s="742"/>
      <c r="Q554" s="13" t="s">
        <v>0</v>
      </c>
      <c r="R554" s="15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  <c r="AS554" s="109"/>
      <c r="AT554" s="109"/>
      <c r="AU554" s="109"/>
      <c r="AV554" s="109"/>
      <c r="AW554" s="109"/>
      <c r="AX554" s="109"/>
      <c r="AY554" s="109"/>
      <c r="AZ554" s="109"/>
    </row>
    <row r="555" spans="1:52" ht="12.75" x14ac:dyDescent="0.2">
      <c r="A555" s="41"/>
      <c r="B555" s="409" t="s">
        <v>216</v>
      </c>
      <c r="C555" s="38"/>
      <c r="D555" s="38"/>
      <c r="E555" s="38"/>
      <c r="F555" s="38"/>
      <c r="G555" s="736">
        <v>0.1</v>
      </c>
      <c r="H555" s="737"/>
      <c r="I555" s="377" t="s">
        <v>382</v>
      </c>
      <c r="J555" s="48" t="s">
        <v>209</v>
      </c>
      <c r="K555" s="13" t="s">
        <v>0</v>
      </c>
      <c r="L555" s="355" t="s">
        <v>382</v>
      </c>
      <c r="M555" s="13" t="s">
        <v>209</v>
      </c>
      <c r="N555" s="62"/>
      <c r="O555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  <c r="AS555" s="109"/>
      <c r="AT555" s="109"/>
      <c r="AU555" s="109"/>
      <c r="AV555" s="109"/>
      <c r="AW555" s="109"/>
      <c r="AX555" s="109"/>
      <c r="AY555" s="109"/>
      <c r="AZ555" s="109"/>
    </row>
    <row r="556" spans="1:52" ht="12.75" x14ac:dyDescent="0.2">
      <c r="A556" s="41"/>
      <c r="B556" s="38" t="s">
        <v>30</v>
      </c>
      <c r="C556" s="38"/>
      <c r="D556" s="38"/>
      <c r="E556" s="38"/>
      <c r="F556" s="9"/>
      <c r="G556" s="13"/>
      <c r="H556" s="22">
        <v>0.42</v>
      </c>
      <c r="I556" s="336"/>
      <c r="J556" s="336"/>
      <c r="K556" s="329">
        <f>SUM(J556*0.42*I556)</f>
        <v>0</v>
      </c>
      <c r="L556" s="336"/>
      <c r="M556" s="336"/>
      <c r="N556" s="329">
        <f>SUM(M556*0.42*L556*50%)</f>
        <v>0</v>
      </c>
      <c r="O556" s="91"/>
      <c r="P556" s="83"/>
      <c r="Q556" s="83"/>
      <c r="R556" s="83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  <c r="AS556" s="109"/>
      <c r="AT556" s="109"/>
      <c r="AU556" s="109"/>
      <c r="AV556" s="109"/>
      <c r="AW556" s="109"/>
      <c r="AX556" s="109"/>
      <c r="AY556" s="109"/>
      <c r="AZ556" s="109"/>
    </row>
    <row r="557" spans="1:52" ht="12.75" x14ac:dyDescent="0.2">
      <c r="A557" s="41"/>
      <c r="B557" s="38" t="s">
        <v>70</v>
      </c>
      <c r="C557" s="38"/>
      <c r="D557" s="38"/>
      <c r="E557" s="38"/>
      <c r="F557" s="9"/>
      <c r="G557" s="13"/>
      <c r="H557" s="22">
        <v>0.68</v>
      </c>
      <c r="I557" s="332"/>
      <c r="J557" s="332"/>
      <c r="K557" s="97">
        <f>SUM(J557*0.68*I557)</f>
        <v>0</v>
      </c>
      <c r="L557" s="332"/>
      <c r="M557" s="332"/>
      <c r="N557" s="97">
        <f>SUM(M557*0.68*L557*50%)</f>
        <v>0</v>
      </c>
      <c r="O557" s="212"/>
      <c r="P557" s="98"/>
      <c r="Q557" s="83"/>
      <c r="R557" s="83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  <c r="AS557" s="109"/>
      <c r="AT557" s="109"/>
      <c r="AU557" s="109"/>
      <c r="AV557" s="109"/>
      <c r="AW557" s="109"/>
      <c r="AX557" s="109"/>
      <c r="AY557" s="109"/>
      <c r="AZ557" s="109"/>
    </row>
    <row r="558" spans="1:52" ht="12.75" x14ac:dyDescent="0.2">
      <c r="A558" s="41"/>
      <c r="B558" s="38" t="s">
        <v>76</v>
      </c>
      <c r="C558" s="38"/>
      <c r="D558" s="38"/>
      <c r="E558" s="38"/>
      <c r="F558" s="9"/>
      <c r="G558" s="13"/>
      <c r="H558" s="22">
        <v>0.84</v>
      </c>
      <c r="I558" s="332"/>
      <c r="J558" s="332"/>
      <c r="K558" s="97">
        <f>SUM(J558*0.84*I558)</f>
        <v>0</v>
      </c>
      <c r="L558" s="332"/>
      <c r="M558" s="332"/>
      <c r="N558" s="368">
        <f>SUM(M558*0.84*L558*50%)</f>
        <v>0</v>
      </c>
      <c r="O558" s="368" t="s">
        <v>382</v>
      </c>
      <c r="P558" s="22" t="s">
        <v>209</v>
      </c>
      <c r="Q558" s="84"/>
      <c r="R558" s="98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  <c r="AS558" s="109"/>
      <c r="AT558" s="109"/>
      <c r="AU558" s="109"/>
      <c r="AV558" s="109"/>
      <c r="AW558" s="109"/>
      <c r="AX558" s="109"/>
      <c r="AY558" s="109"/>
      <c r="AZ558" s="109"/>
    </row>
    <row r="559" spans="1:52" ht="12.75" x14ac:dyDescent="0.2">
      <c r="A559" s="41"/>
      <c r="B559" s="38" t="s">
        <v>68</v>
      </c>
      <c r="C559" s="38"/>
      <c r="D559" s="38"/>
      <c r="E559" s="38"/>
      <c r="F559" s="9"/>
      <c r="G559" s="13" t="s">
        <v>52</v>
      </c>
      <c r="H559" s="22">
        <v>0.82</v>
      </c>
      <c r="I559" s="332"/>
      <c r="J559" s="332"/>
      <c r="K559" s="97">
        <f>SUM(J559*0.82*I559)</f>
        <v>0</v>
      </c>
      <c r="L559" s="332"/>
      <c r="M559" s="332"/>
      <c r="N559" s="97">
        <f>SUM(M559*0.82*L559*50%)</f>
        <v>0</v>
      </c>
      <c r="O559" s="336"/>
      <c r="P559" s="336"/>
      <c r="Q559" s="329">
        <f>SUM(P559*0.82*O559*10%)</f>
        <v>0</v>
      </c>
      <c r="R559" s="91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  <c r="AS559" s="109"/>
      <c r="AT559" s="109"/>
      <c r="AU559" s="109"/>
      <c r="AV559" s="109"/>
      <c r="AW559" s="109"/>
      <c r="AX559" s="109"/>
      <c r="AY559" s="109"/>
      <c r="AZ559" s="109"/>
    </row>
    <row r="560" spans="1:52" ht="12.75" x14ac:dyDescent="0.2">
      <c r="A560" s="41"/>
      <c r="B560" s="38" t="s">
        <v>69</v>
      </c>
      <c r="C560" s="38"/>
      <c r="D560" s="38"/>
      <c r="E560" s="38"/>
      <c r="F560" s="9"/>
      <c r="G560" s="13" t="s">
        <v>66</v>
      </c>
      <c r="H560" s="22">
        <v>1.1499999999999999</v>
      </c>
      <c r="I560" s="332"/>
      <c r="J560" s="332"/>
      <c r="K560" s="97">
        <f>SUM(J560*1.15*I560)</f>
        <v>0</v>
      </c>
      <c r="L560" s="332"/>
      <c r="M560" s="332"/>
      <c r="N560" s="97">
        <f>SUM(M560*1.15*L560*50%)</f>
        <v>0</v>
      </c>
      <c r="O560" s="332"/>
      <c r="P560" s="332"/>
      <c r="Q560" s="97">
        <f>SUM(P560*1.15*O560*10%)</f>
        <v>0</v>
      </c>
      <c r="R560" s="212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  <c r="AS560" s="109"/>
      <c r="AT560" s="109"/>
      <c r="AU560" s="109"/>
      <c r="AV560" s="109"/>
      <c r="AW560" s="109"/>
      <c r="AX560" s="109"/>
      <c r="AY560" s="109"/>
      <c r="AZ560" s="109"/>
    </row>
    <row r="561" spans="1:52" ht="12.75" x14ac:dyDescent="0.2">
      <c r="A561" s="41"/>
      <c r="B561" s="38" t="s">
        <v>71</v>
      </c>
      <c r="C561" s="38"/>
      <c r="D561" s="38"/>
      <c r="E561" s="38"/>
      <c r="F561" s="9"/>
      <c r="G561" s="13" t="s">
        <v>52</v>
      </c>
      <c r="H561" s="22">
        <v>1.31</v>
      </c>
      <c r="I561" s="332"/>
      <c r="J561" s="332"/>
      <c r="K561" s="97">
        <f>SUM(J561*1.31*I561)</f>
        <v>0</v>
      </c>
      <c r="L561" s="332"/>
      <c r="M561" s="332"/>
      <c r="N561" s="97">
        <f>SUM(M561*1.31*L561*50%)</f>
        <v>0</v>
      </c>
      <c r="O561" s="332"/>
      <c r="P561" s="332"/>
      <c r="Q561" s="97">
        <f>SUM(P561*1.31*O561*10%)</f>
        <v>0</v>
      </c>
      <c r="R561" s="212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  <c r="AT561" s="109"/>
      <c r="AU561" s="109"/>
      <c r="AV561" s="109"/>
      <c r="AW561" s="109"/>
      <c r="AX561" s="109"/>
      <c r="AY561" s="109"/>
      <c r="AZ561" s="109"/>
    </row>
    <row r="562" spans="1:52" ht="12.75" x14ac:dyDescent="0.2">
      <c r="A562" s="41"/>
      <c r="B562" s="38" t="s">
        <v>131</v>
      </c>
      <c r="C562" s="38"/>
      <c r="D562" s="38"/>
      <c r="E562" s="38"/>
      <c r="F562" s="9"/>
      <c r="G562" s="13" t="s">
        <v>52</v>
      </c>
      <c r="H562" s="22">
        <v>1.64</v>
      </c>
      <c r="I562" s="332"/>
      <c r="J562" s="332"/>
      <c r="K562" s="97">
        <f>SUM(J562*1.64*I562)</f>
        <v>0</v>
      </c>
      <c r="L562" s="332"/>
      <c r="M562" s="332"/>
      <c r="N562" s="97">
        <f>SUM(M562*1.64*L562*50%)</f>
        <v>0</v>
      </c>
      <c r="O562" s="332"/>
      <c r="P562" s="332"/>
      <c r="Q562" s="97">
        <f>SUM(P562*1.64*O562*10%)</f>
        <v>0</v>
      </c>
      <c r="R562" s="212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AY562" s="109"/>
      <c r="AZ562" s="109"/>
    </row>
    <row r="563" spans="1:52" ht="12.75" x14ac:dyDescent="0.2">
      <c r="A563" s="41"/>
      <c r="B563" s="38" t="s">
        <v>71</v>
      </c>
      <c r="C563" s="38"/>
      <c r="D563" s="38"/>
      <c r="E563" s="38"/>
      <c r="F563" s="9"/>
      <c r="G563" s="13" t="s">
        <v>66</v>
      </c>
      <c r="H563" s="22">
        <v>1.84</v>
      </c>
      <c r="I563" s="332"/>
      <c r="J563" s="332"/>
      <c r="K563" s="97">
        <f>SUM(J563*1.84*I563)</f>
        <v>0</v>
      </c>
      <c r="L563" s="332"/>
      <c r="M563" s="332"/>
      <c r="N563" s="97">
        <f>SUM(M563*1.84*L563*50%)</f>
        <v>0</v>
      </c>
      <c r="O563" s="332"/>
      <c r="P563" s="332"/>
      <c r="Q563" s="97">
        <f>SUM(P563*1.84*O563*10%)</f>
        <v>0</v>
      </c>
      <c r="R563" s="212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  <c r="AT563" s="109"/>
      <c r="AU563" s="109"/>
      <c r="AV563" s="109"/>
      <c r="AW563" s="109"/>
      <c r="AX563" s="109"/>
      <c r="AY563" s="109"/>
      <c r="AZ563" s="109"/>
    </row>
    <row r="564" spans="1:52" ht="12.75" x14ac:dyDescent="0.2">
      <c r="A564" s="41"/>
      <c r="B564" s="17" t="s">
        <v>131</v>
      </c>
      <c r="C564" s="17"/>
      <c r="D564" s="17"/>
      <c r="E564" s="17"/>
      <c r="F564" s="12"/>
      <c r="G564" s="13" t="s">
        <v>66</v>
      </c>
      <c r="H564" s="22">
        <v>2.2999999999999998</v>
      </c>
      <c r="I564" s="332"/>
      <c r="J564" s="332"/>
      <c r="K564" s="97">
        <f>SUM(J564*2.3*I564)</f>
        <v>0</v>
      </c>
      <c r="L564" s="332"/>
      <c r="M564" s="332"/>
      <c r="N564" s="97">
        <f>SUM(M564*2.3*L564*50%)</f>
        <v>0</v>
      </c>
      <c r="O564" s="332"/>
      <c r="P564" s="332"/>
      <c r="Q564" s="97">
        <f>SUM(P564*2.3*O564*10%)</f>
        <v>0</v>
      </c>
      <c r="R564" s="212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  <c r="AT564" s="109"/>
      <c r="AU564" s="109"/>
      <c r="AV564" s="109"/>
      <c r="AW564" s="109"/>
      <c r="AX564" s="109"/>
      <c r="AY564" s="109"/>
      <c r="AZ564" s="109"/>
    </row>
    <row r="565" spans="1:52" ht="12.75" x14ac:dyDescent="0.2">
      <c r="B565" s="5"/>
      <c r="C565" s="5"/>
      <c r="D565" s="5"/>
      <c r="E565" s="5"/>
      <c r="F565" s="5"/>
      <c r="G565" s="5"/>
      <c r="H565" s="83"/>
      <c r="I565" s="83"/>
      <c r="J565" s="87"/>
      <c r="K565" s="166"/>
      <c r="L565" s="166"/>
      <c r="M565" s="87"/>
      <c r="N565" s="166"/>
      <c r="O565" s="166"/>
      <c r="P565" s="87"/>
      <c r="Q565" s="166"/>
      <c r="R565" s="166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  <c r="AT565" s="109"/>
      <c r="AU565" s="109"/>
      <c r="AV565" s="109"/>
      <c r="AW565" s="109"/>
      <c r="AX565" s="109"/>
      <c r="AY565" s="109"/>
      <c r="AZ565" s="109"/>
    </row>
    <row r="566" spans="1:52" ht="13.5" thickBot="1" x14ac:dyDescent="0.25">
      <c r="B566" s="5" t="s">
        <v>122</v>
      </c>
      <c r="C566" s="5"/>
      <c r="D566" s="5"/>
      <c r="E566" s="5"/>
      <c r="F566" s="5"/>
      <c r="G566" s="15"/>
      <c r="H566" s="34"/>
      <c r="I566" s="34"/>
      <c r="J566" s="90" t="s">
        <v>0</v>
      </c>
      <c r="K566" s="680">
        <f>SUM(K556:K564)</f>
        <v>0</v>
      </c>
      <c r="L566" s="167"/>
      <c r="M566" s="90" t="s">
        <v>0</v>
      </c>
      <c r="N566" s="680">
        <f>SUM(N556:N564)</f>
        <v>0</v>
      </c>
      <c r="O566" s="167"/>
      <c r="P566" s="90" t="s">
        <v>0</v>
      </c>
      <c r="Q566" s="680">
        <f>SUM(Q559:Q564)</f>
        <v>0</v>
      </c>
      <c r="R566" s="378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  <c r="AT566" s="109"/>
      <c r="AU566" s="109"/>
      <c r="AV566" s="109"/>
      <c r="AW566" s="109"/>
      <c r="AX566" s="109"/>
      <c r="AY566" s="109"/>
      <c r="AZ566" s="109"/>
    </row>
    <row r="567" spans="1:52" ht="12.75" x14ac:dyDescent="0.2">
      <c r="B567" s="5"/>
      <c r="C567" s="5"/>
      <c r="D567" s="5"/>
      <c r="E567" s="5"/>
      <c r="F567" s="5"/>
      <c r="G567" s="15"/>
      <c r="H567" s="46"/>
      <c r="I567" s="15"/>
      <c r="O567" s="15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AY567" s="109"/>
      <c r="AZ567" s="109"/>
    </row>
    <row r="568" spans="1:52" ht="12.75" x14ac:dyDescent="0.2">
      <c r="B568" s="5"/>
      <c r="C568" s="5"/>
      <c r="D568" s="5"/>
      <c r="E568" s="5"/>
      <c r="G568" s="46"/>
      <c r="H568" s="46"/>
      <c r="O568" s="15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AY568" s="109"/>
      <c r="AZ568" s="109"/>
    </row>
    <row r="569" spans="1:52" ht="12.75" x14ac:dyDescent="0.2">
      <c r="B569" s="5" t="s">
        <v>133</v>
      </c>
      <c r="C569" s="5"/>
      <c r="D569" s="5"/>
      <c r="E569" s="5"/>
      <c r="G569" s="46"/>
      <c r="H569" s="15"/>
      <c r="O569" s="15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AY569" s="109"/>
      <c r="AZ569" s="109"/>
    </row>
    <row r="570" spans="1:52" ht="12.75" x14ac:dyDescent="0.2">
      <c r="B570" s="5" t="s">
        <v>134</v>
      </c>
      <c r="C570" s="5"/>
      <c r="D570" s="5"/>
      <c r="E570" s="5"/>
      <c r="G570" s="46"/>
      <c r="H570" s="15"/>
      <c r="O570" s="15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AY570" s="109"/>
      <c r="AZ570" s="109"/>
    </row>
    <row r="571" spans="1:52" ht="12.75" x14ac:dyDescent="0.2">
      <c r="B571" s="5"/>
      <c r="C571" s="5"/>
      <c r="D571" s="5"/>
      <c r="E571" s="5"/>
      <c r="G571" s="46"/>
      <c r="H571" s="15"/>
      <c r="O571" s="15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AY571" s="109"/>
      <c r="AZ571" s="109"/>
    </row>
    <row r="572" spans="1:52" ht="12.75" x14ac:dyDescent="0.2">
      <c r="A572" s="41"/>
      <c r="B572" s="38" t="s">
        <v>32</v>
      </c>
      <c r="C572" s="38"/>
      <c r="D572" s="38" t="s">
        <v>33</v>
      </c>
      <c r="E572" s="38"/>
      <c r="F572" s="9"/>
      <c r="G572" s="37" t="s">
        <v>65</v>
      </c>
      <c r="H572" s="2"/>
      <c r="I572" s="13" t="s">
        <v>12</v>
      </c>
      <c r="J572" s="13" t="s">
        <v>145</v>
      </c>
      <c r="K572" s="13" t="s">
        <v>0</v>
      </c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  <c r="AT572" s="109"/>
      <c r="AU572" s="109"/>
      <c r="AV572" s="109"/>
      <c r="AW572" s="109"/>
      <c r="AX572" s="109"/>
      <c r="AY572" s="109"/>
      <c r="AZ572" s="109"/>
    </row>
    <row r="573" spans="1:52" ht="12.75" x14ac:dyDescent="0.2">
      <c r="A573" s="41"/>
      <c r="B573" s="38" t="s">
        <v>32</v>
      </c>
      <c r="C573" s="38"/>
      <c r="D573" s="38" t="s">
        <v>34</v>
      </c>
      <c r="E573" s="38"/>
      <c r="F573" s="38"/>
      <c r="G573" s="700" t="s">
        <v>35</v>
      </c>
      <c r="H573" s="701"/>
      <c r="I573" s="44">
        <v>0.73</v>
      </c>
      <c r="J573" s="332"/>
      <c r="K573" s="97">
        <f>SUM(J573*0.73)</f>
        <v>0</v>
      </c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  <c r="AT573" s="109"/>
      <c r="AU573" s="109"/>
      <c r="AV573" s="109"/>
      <c r="AW573" s="109"/>
      <c r="AX573" s="109"/>
      <c r="AY573" s="109"/>
      <c r="AZ573" s="109"/>
    </row>
    <row r="574" spans="1:52" ht="12.75" x14ac:dyDescent="0.2">
      <c r="A574" s="41"/>
      <c r="B574" s="38" t="s">
        <v>32</v>
      </c>
      <c r="C574" s="38"/>
      <c r="D574" s="38" t="s">
        <v>34</v>
      </c>
      <c r="E574" s="38"/>
      <c r="F574" s="38"/>
      <c r="G574" s="700" t="s">
        <v>36</v>
      </c>
      <c r="H574" s="701"/>
      <c r="I574" s="44">
        <v>1.1000000000000001</v>
      </c>
      <c r="J574" s="332"/>
      <c r="K574" s="97">
        <f>SUM(J574*1.1)</f>
        <v>0</v>
      </c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  <c r="AV574" s="109"/>
      <c r="AW574" s="109"/>
      <c r="AX574" s="109"/>
      <c r="AY574" s="109"/>
      <c r="AZ574" s="109"/>
    </row>
    <row r="575" spans="1:52" ht="12.75" x14ac:dyDescent="0.2">
      <c r="A575" s="41"/>
      <c r="B575" s="38" t="s">
        <v>2</v>
      </c>
      <c r="C575" s="38"/>
      <c r="D575" s="38" t="s">
        <v>33</v>
      </c>
      <c r="E575" s="38"/>
      <c r="F575" s="9"/>
      <c r="G575" s="40" t="s">
        <v>65</v>
      </c>
      <c r="I575" s="13"/>
      <c r="J575" s="22"/>
      <c r="K575" s="182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AY575" s="109"/>
      <c r="AZ575" s="109"/>
    </row>
    <row r="576" spans="1:52" ht="12.75" x14ac:dyDescent="0.2">
      <c r="A576" s="41"/>
      <c r="B576" s="38" t="s">
        <v>2</v>
      </c>
      <c r="C576" s="38"/>
      <c r="D576" s="38" t="s">
        <v>34</v>
      </c>
      <c r="E576" s="38"/>
      <c r="F576" s="38"/>
      <c r="G576" s="700" t="s">
        <v>35</v>
      </c>
      <c r="H576" s="701"/>
      <c r="I576" s="44">
        <v>1.4</v>
      </c>
      <c r="J576" s="332"/>
      <c r="K576" s="97">
        <f>SUM(J576*1.4)</f>
        <v>0</v>
      </c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AY576" s="109"/>
      <c r="AZ576" s="109"/>
    </row>
    <row r="577" spans="1:52" ht="12.75" x14ac:dyDescent="0.2">
      <c r="A577" s="41"/>
      <c r="B577" s="38" t="s">
        <v>2</v>
      </c>
      <c r="C577" s="38"/>
      <c r="D577" s="38" t="s">
        <v>34</v>
      </c>
      <c r="E577" s="38"/>
      <c r="F577" s="38"/>
      <c r="G577" s="700" t="s">
        <v>36</v>
      </c>
      <c r="H577" s="701"/>
      <c r="I577" s="44">
        <v>1.74</v>
      </c>
      <c r="J577" s="332"/>
      <c r="K577" s="97">
        <f>SUM(J577*1.74)</f>
        <v>0</v>
      </c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AY577" s="109"/>
      <c r="AZ577" s="109"/>
    </row>
    <row r="578" spans="1:52" ht="12.75" x14ac:dyDescent="0.2">
      <c r="A578" s="41"/>
      <c r="B578" s="5" t="s">
        <v>37</v>
      </c>
      <c r="C578" s="5"/>
      <c r="D578" s="5"/>
      <c r="E578" s="5"/>
      <c r="F578" s="5"/>
      <c r="G578" s="48"/>
      <c r="H578" s="12"/>
      <c r="I578" s="47">
        <v>0.09</v>
      </c>
      <c r="J578" s="332"/>
      <c r="K578" s="97">
        <f>SUM(J578*0.09)</f>
        <v>0</v>
      </c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AY578" s="109"/>
      <c r="AZ578" s="109"/>
    </row>
    <row r="579" spans="1:52" ht="12.75" x14ac:dyDescent="0.2">
      <c r="A579" s="41"/>
      <c r="B579" s="38" t="s">
        <v>137</v>
      </c>
      <c r="C579" s="38"/>
      <c r="D579" s="38" t="s">
        <v>34</v>
      </c>
      <c r="E579" s="38"/>
      <c r="F579" s="38" t="s">
        <v>135</v>
      </c>
      <c r="G579" s="63" t="s">
        <v>65</v>
      </c>
      <c r="H579" s="64"/>
      <c r="I579" s="9"/>
      <c r="J579" s="22"/>
      <c r="K579" s="175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AY579" s="109"/>
      <c r="AZ579" s="109"/>
    </row>
    <row r="580" spans="1:52" ht="12.75" x14ac:dyDescent="0.2">
      <c r="B580" s="59"/>
      <c r="C580" s="5"/>
      <c r="D580" s="5"/>
      <c r="E580" s="5"/>
      <c r="F580" s="5"/>
      <c r="G580" s="735"/>
      <c r="H580" s="735"/>
      <c r="I580" s="15"/>
      <c r="J580" s="83"/>
      <c r="K580" s="171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AY580" s="109"/>
      <c r="AZ580" s="109"/>
    </row>
    <row r="581" spans="1:52" ht="12.75" x14ac:dyDescent="0.2">
      <c r="B581" s="5"/>
      <c r="C581" s="5"/>
      <c r="D581" s="5"/>
      <c r="E581" s="5"/>
      <c r="F581" s="5"/>
      <c r="G581" s="5"/>
      <c r="J581" s="83"/>
      <c r="K581" s="171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</row>
    <row r="582" spans="1:52" ht="15.75" customHeight="1" thickBot="1" x14ac:dyDescent="0.25">
      <c r="B582" s="5"/>
      <c r="C582" s="5"/>
      <c r="D582" s="5"/>
      <c r="E582" s="5"/>
      <c r="F582" s="5"/>
      <c r="G582" s="5"/>
      <c r="I582" s="59"/>
      <c r="J582" s="90" t="s">
        <v>0</v>
      </c>
      <c r="K582" s="680">
        <f>SUM(K573:K579)</f>
        <v>0</v>
      </c>
      <c r="L582" s="87"/>
      <c r="M582" s="87"/>
      <c r="N582" s="87"/>
      <c r="O582" s="87"/>
      <c r="P582" s="89" t="s">
        <v>207</v>
      </c>
      <c r="Q582" s="89" t="s">
        <v>0</v>
      </c>
      <c r="R582" s="657">
        <f>SUM(K566+N566+Q566+K582)</f>
        <v>0</v>
      </c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</row>
    <row r="583" spans="1:52" ht="12.75" hidden="1" x14ac:dyDescent="0.2">
      <c r="B583" s="5"/>
      <c r="C583" s="5"/>
      <c r="D583" s="5"/>
      <c r="E583" s="5"/>
      <c r="F583" s="5"/>
      <c r="G583" s="5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</row>
    <row r="584" spans="1:52" ht="30" customHeight="1" x14ac:dyDescent="0.45"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AY584" s="109"/>
      <c r="AZ584" s="109"/>
    </row>
    <row r="585" spans="1:52" ht="0.75" customHeight="1" x14ac:dyDescent="0.45">
      <c r="A585" s="5">
        <v>0</v>
      </c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AY585" s="109"/>
      <c r="AZ585" s="109"/>
    </row>
    <row r="586" spans="1:52" ht="0.75" customHeight="1" x14ac:dyDescent="0.45">
      <c r="A586" s="5">
        <v>1</v>
      </c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AY586" s="109"/>
      <c r="AZ586" s="109"/>
    </row>
    <row r="587" spans="1:52" ht="0.75" customHeight="1" x14ac:dyDescent="0.45">
      <c r="A587" s="5">
        <v>2</v>
      </c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</row>
    <row r="588" spans="1:52" ht="0.75" customHeight="1" x14ac:dyDescent="0.45">
      <c r="A588" s="5">
        <v>3</v>
      </c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AY588" s="109"/>
      <c r="AZ588" s="109"/>
    </row>
    <row r="589" spans="1:52" ht="0.75" customHeight="1" x14ac:dyDescent="0.45">
      <c r="A589" s="5">
        <v>4</v>
      </c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AY589" s="109"/>
      <c r="AZ589" s="109"/>
    </row>
    <row r="590" spans="1:52" ht="0.75" customHeight="1" x14ac:dyDescent="0.45">
      <c r="A590" s="5">
        <v>5</v>
      </c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AY590" s="109"/>
      <c r="AZ590" s="109"/>
    </row>
    <row r="591" spans="1:52" ht="0.75" customHeight="1" x14ac:dyDescent="0.45">
      <c r="A591" s="5">
        <v>6</v>
      </c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AY591" s="109"/>
      <c r="AZ591" s="109"/>
    </row>
    <row r="592" spans="1:52" ht="0.75" customHeight="1" x14ac:dyDescent="0.45">
      <c r="A592" s="5">
        <v>7</v>
      </c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AY592" s="109"/>
      <c r="AZ592" s="109"/>
    </row>
    <row r="593" spans="1:52" ht="0.75" customHeight="1" x14ac:dyDescent="0.45">
      <c r="A593" s="5">
        <v>8</v>
      </c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AY593" s="109"/>
      <c r="AZ593" s="109"/>
    </row>
    <row r="594" spans="1:52" ht="0.75" customHeight="1" x14ac:dyDescent="0.45">
      <c r="A594" s="5">
        <v>9</v>
      </c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AY594" s="109"/>
      <c r="AZ594" s="109"/>
    </row>
    <row r="595" spans="1:52" ht="0.75" customHeight="1" x14ac:dyDescent="0.45">
      <c r="A595" s="5">
        <v>10</v>
      </c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  <c r="AV595" s="109"/>
      <c r="AW595" s="109"/>
      <c r="AX595" s="109"/>
      <c r="AY595" s="109"/>
      <c r="AZ595" s="109"/>
    </row>
    <row r="596" spans="1:52" ht="0.75" customHeight="1" x14ac:dyDescent="0.45">
      <c r="A596" s="5">
        <v>11</v>
      </c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  <c r="AV596" s="109"/>
      <c r="AW596" s="109"/>
      <c r="AX596" s="109"/>
      <c r="AY596" s="109"/>
      <c r="AZ596" s="109"/>
    </row>
    <row r="597" spans="1:52" ht="0.75" customHeight="1" x14ac:dyDescent="0.45">
      <c r="A597" s="5">
        <v>12</v>
      </c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  <c r="AV597" s="109"/>
      <c r="AW597" s="109"/>
      <c r="AX597" s="109"/>
      <c r="AY597" s="109"/>
      <c r="AZ597" s="109"/>
    </row>
    <row r="598" spans="1:52" ht="0.75" customHeight="1" x14ac:dyDescent="0.45">
      <c r="A598" s="5">
        <v>13</v>
      </c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  <c r="AV598" s="109"/>
      <c r="AW598" s="109"/>
      <c r="AX598" s="109"/>
      <c r="AY598" s="109"/>
      <c r="AZ598" s="109"/>
    </row>
    <row r="599" spans="1:52" ht="0.75" customHeight="1" x14ac:dyDescent="0.45">
      <c r="A599" s="5">
        <v>14</v>
      </c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  <c r="AV599" s="109"/>
      <c r="AW599" s="109"/>
      <c r="AX599" s="109"/>
      <c r="AY599" s="109"/>
      <c r="AZ599" s="109"/>
    </row>
    <row r="600" spans="1:52" ht="0.75" customHeight="1" x14ac:dyDescent="0.45">
      <c r="A600" s="5">
        <v>15</v>
      </c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  <c r="AV600" s="109"/>
      <c r="AW600" s="109"/>
      <c r="AX600" s="109"/>
      <c r="AY600" s="109"/>
      <c r="AZ600" s="109"/>
    </row>
    <row r="601" spans="1:52" ht="0.75" customHeight="1" x14ac:dyDescent="0.45">
      <c r="A601" s="5">
        <v>16</v>
      </c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  <c r="AV601" s="109"/>
      <c r="AW601" s="109"/>
      <c r="AX601" s="109"/>
      <c r="AY601" s="109"/>
      <c r="AZ601" s="109"/>
    </row>
    <row r="602" spans="1:52" ht="0.75" customHeight="1" x14ac:dyDescent="0.45">
      <c r="A602" s="5">
        <v>17</v>
      </c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  <c r="AT602" s="109"/>
      <c r="AU602" s="109"/>
      <c r="AV602" s="109"/>
      <c r="AW602" s="109"/>
      <c r="AX602" s="109"/>
      <c r="AY602" s="109"/>
      <c r="AZ602" s="109"/>
    </row>
    <row r="603" spans="1:52" ht="0.75" customHeight="1" x14ac:dyDescent="0.45">
      <c r="A603" s="5">
        <v>18</v>
      </c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  <c r="AT603" s="109"/>
      <c r="AU603" s="109"/>
      <c r="AV603" s="109"/>
      <c r="AW603" s="109"/>
      <c r="AX603" s="109"/>
      <c r="AY603" s="109"/>
      <c r="AZ603" s="109"/>
    </row>
    <row r="604" spans="1:52" ht="0.75" customHeight="1" x14ac:dyDescent="0.45">
      <c r="A604" s="5">
        <v>19</v>
      </c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  <c r="AV604" s="109"/>
      <c r="AW604" s="109"/>
      <c r="AX604" s="109"/>
      <c r="AY604" s="109"/>
      <c r="AZ604" s="109"/>
    </row>
    <row r="605" spans="1:52" ht="0.75" customHeight="1" x14ac:dyDescent="0.45">
      <c r="A605" s="5">
        <v>20</v>
      </c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  <c r="AV605" s="109"/>
      <c r="AW605" s="109"/>
      <c r="AX605" s="109"/>
      <c r="AY605" s="109"/>
      <c r="AZ605" s="109"/>
    </row>
    <row r="606" spans="1:52" ht="0.75" customHeight="1" x14ac:dyDescent="0.45">
      <c r="A606" s="5">
        <v>21</v>
      </c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  <c r="AT606" s="109"/>
      <c r="AU606" s="109"/>
      <c r="AV606" s="109"/>
      <c r="AW606" s="109"/>
      <c r="AX606" s="109"/>
      <c r="AY606" s="109"/>
      <c r="AZ606" s="109"/>
    </row>
    <row r="607" spans="1:52" ht="0.75" customHeight="1" x14ac:dyDescent="0.45">
      <c r="A607" s="5">
        <v>22</v>
      </c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  <c r="AT607" s="109"/>
      <c r="AU607" s="109"/>
      <c r="AV607" s="109"/>
      <c r="AW607" s="109"/>
      <c r="AX607" s="109"/>
      <c r="AY607" s="109"/>
      <c r="AZ607" s="109"/>
    </row>
    <row r="608" spans="1:52" ht="0.75" customHeight="1" x14ac:dyDescent="0.45">
      <c r="A608" s="5">
        <v>23</v>
      </c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  <c r="AT608" s="109"/>
      <c r="AU608" s="109"/>
      <c r="AV608" s="109"/>
      <c r="AW608" s="109"/>
      <c r="AX608" s="109"/>
      <c r="AY608" s="109"/>
      <c r="AZ608" s="109"/>
    </row>
    <row r="609" spans="1:52" ht="0.75" customHeight="1" x14ac:dyDescent="0.45">
      <c r="A609" s="5">
        <v>24</v>
      </c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9"/>
      <c r="AS609" s="109"/>
      <c r="AT609" s="109"/>
      <c r="AU609" s="109"/>
      <c r="AV609" s="109"/>
      <c r="AW609" s="109"/>
      <c r="AX609" s="109"/>
      <c r="AY609" s="109"/>
      <c r="AZ609" s="109"/>
    </row>
    <row r="610" spans="1:52" ht="0.75" customHeight="1" x14ac:dyDescent="0.45">
      <c r="A610" s="5">
        <v>25</v>
      </c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  <c r="AT610" s="109"/>
      <c r="AU610" s="109"/>
      <c r="AV610" s="109"/>
      <c r="AW610" s="109"/>
      <c r="AX610" s="109"/>
      <c r="AY610" s="109"/>
      <c r="AZ610" s="109"/>
    </row>
    <row r="611" spans="1:52" ht="0.75" customHeight="1" x14ac:dyDescent="0.45">
      <c r="A611" s="5">
        <v>26</v>
      </c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  <c r="AT611" s="109"/>
      <c r="AU611" s="109"/>
      <c r="AV611" s="109"/>
      <c r="AW611" s="109"/>
      <c r="AX611" s="109"/>
      <c r="AY611" s="109"/>
      <c r="AZ611" s="109"/>
    </row>
    <row r="612" spans="1:52" ht="0.75" customHeight="1" x14ac:dyDescent="0.45">
      <c r="A612" s="5">
        <v>27</v>
      </c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  <c r="AT612" s="109"/>
      <c r="AU612" s="109"/>
      <c r="AV612" s="109"/>
      <c r="AW612" s="109"/>
      <c r="AX612" s="109"/>
      <c r="AY612" s="109"/>
      <c r="AZ612" s="109"/>
    </row>
    <row r="613" spans="1:52" ht="0.75" customHeight="1" x14ac:dyDescent="0.45">
      <c r="A613" s="5">
        <v>28</v>
      </c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  <c r="AT613" s="109"/>
      <c r="AU613" s="109"/>
      <c r="AV613" s="109"/>
      <c r="AW613" s="109"/>
      <c r="AX613" s="109"/>
      <c r="AY613" s="109"/>
      <c r="AZ613" s="109"/>
    </row>
    <row r="614" spans="1:52" ht="0.75" customHeight="1" x14ac:dyDescent="0.45">
      <c r="A614" s="5">
        <v>29</v>
      </c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  <c r="AT614" s="109"/>
      <c r="AU614" s="109"/>
      <c r="AV614" s="109"/>
      <c r="AW614" s="109"/>
      <c r="AX614" s="109"/>
      <c r="AY614" s="109"/>
      <c r="AZ614" s="109"/>
    </row>
    <row r="615" spans="1:52" ht="0.75" customHeight="1" x14ac:dyDescent="0.45">
      <c r="A615" s="5">
        <v>30</v>
      </c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  <c r="AT615" s="109"/>
      <c r="AU615" s="109"/>
      <c r="AV615" s="109"/>
      <c r="AW615" s="109"/>
      <c r="AX615" s="109"/>
      <c r="AY615" s="109"/>
      <c r="AZ615" s="109"/>
    </row>
    <row r="616" spans="1:52" ht="0.75" customHeight="1" x14ac:dyDescent="0.45">
      <c r="A616" s="5">
        <v>31</v>
      </c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  <c r="AT616" s="109"/>
      <c r="AU616" s="109"/>
      <c r="AV616" s="109"/>
      <c r="AW616" s="109"/>
      <c r="AX616" s="109"/>
      <c r="AY616" s="109"/>
      <c r="AZ616" s="109"/>
    </row>
    <row r="617" spans="1:52" ht="0.75" customHeight="1" x14ac:dyDescent="0.45">
      <c r="A617" s="5">
        <v>32</v>
      </c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  <c r="AT617" s="109"/>
      <c r="AU617" s="109"/>
      <c r="AV617" s="109"/>
      <c r="AW617" s="109"/>
      <c r="AX617" s="109"/>
      <c r="AY617" s="109"/>
      <c r="AZ617" s="109"/>
    </row>
    <row r="618" spans="1:52" ht="0.75" customHeight="1" x14ac:dyDescent="0.45">
      <c r="A618" s="5">
        <v>33</v>
      </c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  <c r="AT618" s="109"/>
      <c r="AU618" s="109"/>
      <c r="AV618" s="109"/>
      <c r="AW618" s="109"/>
      <c r="AX618" s="109"/>
      <c r="AY618" s="109"/>
      <c r="AZ618" s="109"/>
    </row>
    <row r="619" spans="1:52" ht="0.75" customHeight="1" x14ac:dyDescent="0.45">
      <c r="A619" s="5">
        <v>34</v>
      </c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  <c r="AT619" s="109"/>
      <c r="AU619" s="109"/>
      <c r="AV619" s="109"/>
      <c r="AW619" s="109"/>
      <c r="AX619" s="109"/>
      <c r="AY619" s="109"/>
      <c r="AZ619" s="109"/>
    </row>
    <row r="620" spans="1:52" ht="0.75" customHeight="1" x14ac:dyDescent="0.45">
      <c r="A620" s="5">
        <v>35</v>
      </c>
      <c r="T620" s="109"/>
      <c r="U620" s="109"/>
      <c r="V620" s="109"/>
      <c r="W620" s="109"/>
      <c r="X620" s="109"/>
      <c r="Y620" s="109"/>
      <c r="Z620" s="109"/>
      <c r="AA620" s="109"/>
      <c r="AB620" s="109"/>
      <c r="AC620" s="109"/>
      <c r="AD620" s="109"/>
      <c r="AE620" s="109"/>
      <c r="AF620" s="109"/>
      <c r="AG620" s="109"/>
      <c r="AH620" s="109"/>
      <c r="AI620" s="109"/>
      <c r="AJ620" s="109"/>
      <c r="AK620" s="109"/>
      <c r="AL620" s="109"/>
      <c r="AM620" s="109"/>
      <c r="AN620" s="109"/>
      <c r="AO620" s="109"/>
      <c r="AP620" s="109"/>
      <c r="AQ620" s="109"/>
      <c r="AR620" s="109"/>
      <c r="AS620" s="109"/>
      <c r="AT620" s="109"/>
      <c r="AU620" s="109"/>
      <c r="AV620" s="109"/>
      <c r="AW620" s="109"/>
      <c r="AX620" s="109"/>
      <c r="AY620" s="109"/>
      <c r="AZ620" s="109"/>
    </row>
    <row r="621" spans="1:52" ht="0.75" customHeight="1" x14ac:dyDescent="0.45">
      <c r="A621" s="5">
        <v>36</v>
      </c>
      <c r="T621" s="109"/>
      <c r="U621" s="109"/>
      <c r="V621" s="109"/>
      <c r="W621" s="109"/>
      <c r="X621" s="109"/>
      <c r="Y621" s="109"/>
      <c r="Z621" s="109"/>
      <c r="AA621" s="109"/>
      <c r="AB621" s="109"/>
      <c r="AC621" s="109"/>
      <c r="AD621" s="109"/>
      <c r="AE621" s="109"/>
      <c r="AF621" s="109"/>
      <c r="AG621" s="109"/>
      <c r="AH621" s="109"/>
      <c r="AI621" s="109"/>
      <c r="AJ621" s="109"/>
      <c r="AK621" s="109"/>
      <c r="AL621" s="109"/>
      <c r="AM621" s="109"/>
      <c r="AN621" s="109"/>
      <c r="AO621" s="109"/>
      <c r="AP621" s="109"/>
      <c r="AQ621" s="109"/>
      <c r="AR621" s="109"/>
      <c r="AS621" s="109"/>
      <c r="AT621" s="109"/>
      <c r="AU621" s="109"/>
      <c r="AV621" s="109"/>
      <c r="AW621" s="109"/>
      <c r="AX621" s="109"/>
      <c r="AY621" s="109"/>
      <c r="AZ621" s="109"/>
    </row>
    <row r="622" spans="1:52" ht="0.75" customHeight="1" x14ac:dyDescent="0.45">
      <c r="A622" s="5">
        <v>37</v>
      </c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9"/>
      <c r="AS622" s="109"/>
      <c r="AT622" s="109"/>
      <c r="AU622" s="109"/>
      <c r="AV622" s="109"/>
      <c r="AW622" s="109"/>
      <c r="AX622" s="109"/>
      <c r="AY622" s="109"/>
      <c r="AZ622" s="109"/>
    </row>
    <row r="623" spans="1:52" ht="0.75" customHeight="1" x14ac:dyDescent="0.45">
      <c r="A623" s="5">
        <v>38</v>
      </c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9"/>
      <c r="AS623" s="109"/>
      <c r="AT623" s="109"/>
      <c r="AU623" s="109"/>
      <c r="AV623" s="109"/>
      <c r="AW623" s="109"/>
      <c r="AX623" s="109"/>
      <c r="AY623" s="109"/>
      <c r="AZ623" s="109"/>
    </row>
    <row r="624" spans="1:52" ht="0.75" customHeight="1" x14ac:dyDescent="0.45">
      <c r="A624" s="5">
        <v>39</v>
      </c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9"/>
      <c r="AS624" s="109"/>
      <c r="AT624" s="109"/>
      <c r="AU624" s="109"/>
      <c r="AV624" s="109"/>
      <c r="AW624" s="109"/>
      <c r="AX624" s="109"/>
      <c r="AY624" s="109"/>
      <c r="AZ624" s="109"/>
    </row>
    <row r="625" spans="1:52" ht="0.75" customHeight="1" x14ac:dyDescent="0.45">
      <c r="A625" s="5">
        <v>40</v>
      </c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9"/>
      <c r="AS625" s="109"/>
      <c r="AT625" s="109"/>
      <c r="AU625" s="109"/>
      <c r="AV625" s="109"/>
      <c r="AW625" s="109"/>
      <c r="AX625" s="109"/>
      <c r="AY625" s="109"/>
      <c r="AZ625" s="109"/>
    </row>
    <row r="626" spans="1:52" ht="0.75" customHeight="1" x14ac:dyDescent="0.45">
      <c r="A626" s="5">
        <v>41</v>
      </c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9"/>
      <c r="AS626" s="109"/>
      <c r="AT626" s="109"/>
      <c r="AU626" s="109"/>
      <c r="AV626" s="109"/>
      <c r="AW626" s="109"/>
      <c r="AX626" s="109"/>
      <c r="AY626" s="109"/>
      <c r="AZ626" s="109"/>
    </row>
    <row r="627" spans="1:52" ht="0.75" customHeight="1" x14ac:dyDescent="0.45">
      <c r="A627" s="5">
        <v>42</v>
      </c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  <c r="AL627" s="109"/>
      <c r="AM627" s="109"/>
      <c r="AN627" s="109"/>
      <c r="AO627" s="109"/>
      <c r="AP627" s="109"/>
      <c r="AQ627" s="109"/>
      <c r="AR627" s="109"/>
      <c r="AS627" s="109"/>
      <c r="AT627" s="109"/>
      <c r="AU627" s="109"/>
      <c r="AV627" s="109"/>
      <c r="AW627" s="109"/>
      <c r="AX627" s="109"/>
      <c r="AY627" s="109"/>
      <c r="AZ627" s="109"/>
    </row>
    <row r="628" spans="1:52" ht="0.75" customHeight="1" x14ac:dyDescent="0.45">
      <c r="A628" s="5">
        <v>43</v>
      </c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  <c r="AL628" s="109"/>
      <c r="AM628" s="109"/>
      <c r="AN628" s="109"/>
      <c r="AO628" s="109"/>
      <c r="AP628" s="109"/>
      <c r="AQ628" s="109"/>
      <c r="AR628" s="109"/>
      <c r="AS628" s="109"/>
      <c r="AT628" s="109"/>
      <c r="AU628" s="109"/>
      <c r="AV628" s="109"/>
      <c r="AW628" s="109"/>
      <c r="AX628" s="109"/>
      <c r="AY628" s="109"/>
      <c r="AZ628" s="109"/>
    </row>
    <row r="629" spans="1:52" ht="0.75" customHeight="1" x14ac:dyDescent="0.45">
      <c r="A629" s="5">
        <v>44</v>
      </c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  <c r="AL629" s="109"/>
      <c r="AM629" s="109"/>
      <c r="AN629" s="109"/>
      <c r="AO629" s="109"/>
      <c r="AP629" s="109"/>
      <c r="AQ629" s="109"/>
      <c r="AR629" s="109"/>
      <c r="AS629" s="109"/>
      <c r="AT629" s="109"/>
      <c r="AU629" s="109"/>
      <c r="AV629" s="109"/>
      <c r="AW629" s="109"/>
      <c r="AX629" s="109"/>
      <c r="AY629" s="109"/>
      <c r="AZ629" s="109"/>
    </row>
    <row r="630" spans="1:52" ht="0.75" customHeight="1" x14ac:dyDescent="0.45">
      <c r="A630" s="5">
        <v>45</v>
      </c>
      <c r="T630" s="109"/>
      <c r="U630" s="109"/>
      <c r="V630" s="109"/>
      <c r="W630" s="109"/>
      <c r="X630" s="109"/>
      <c r="Y630" s="109"/>
      <c r="Z630" s="109"/>
      <c r="AA630" s="109"/>
      <c r="AB630" s="109"/>
      <c r="AC630" s="109"/>
      <c r="AD630" s="109"/>
      <c r="AE630" s="109"/>
      <c r="AF630" s="109"/>
      <c r="AG630" s="109"/>
      <c r="AH630" s="109"/>
      <c r="AI630" s="109"/>
      <c r="AJ630" s="109"/>
      <c r="AK630" s="109"/>
      <c r="AL630" s="109"/>
      <c r="AM630" s="109"/>
      <c r="AN630" s="109"/>
      <c r="AO630" s="109"/>
      <c r="AP630" s="109"/>
      <c r="AQ630" s="109"/>
      <c r="AR630" s="109"/>
      <c r="AS630" s="109"/>
      <c r="AT630" s="109"/>
      <c r="AU630" s="109"/>
      <c r="AV630" s="109"/>
      <c r="AW630" s="109"/>
      <c r="AX630" s="109"/>
      <c r="AY630" s="109"/>
      <c r="AZ630" s="109"/>
    </row>
    <row r="631" spans="1:52" ht="0.75" customHeight="1" x14ac:dyDescent="0.45">
      <c r="A631" s="5">
        <v>46</v>
      </c>
      <c r="T631" s="109"/>
      <c r="U631" s="109"/>
      <c r="V631" s="109"/>
      <c r="W631" s="109"/>
      <c r="X631" s="109"/>
      <c r="Y631" s="109"/>
      <c r="Z631" s="109"/>
      <c r="AA631" s="109"/>
      <c r="AB631" s="109"/>
      <c r="AC631" s="109"/>
      <c r="AD631" s="109"/>
      <c r="AE631" s="109"/>
      <c r="AF631" s="109"/>
      <c r="AG631" s="109"/>
      <c r="AH631" s="109"/>
      <c r="AI631" s="109"/>
      <c r="AJ631" s="109"/>
      <c r="AK631" s="109"/>
      <c r="AL631" s="109"/>
      <c r="AM631" s="109"/>
      <c r="AN631" s="109"/>
      <c r="AO631" s="109"/>
      <c r="AP631" s="109"/>
      <c r="AQ631" s="109"/>
      <c r="AR631" s="109"/>
      <c r="AS631" s="109"/>
      <c r="AT631" s="109"/>
      <c r="AU631" s="109"/>
      <c r="AV631" s="109"/>
      <c r="AW631" s="109"/>
      <c r="AX631" s="109"/>
      <c r="AY631" s="109"/>
      <c r="AZ631" s="109"/>
    </row>
    <row r="632" spans="1:52" ht="0.75" customHeight="1" x14ac:dyDescent="0.45">
      <c r="A632" s="5">
        <v>47</v>
      </c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/>
      <c r="AD632" s="109"/>
      <c r="AE632" s="109"/>
      <c r="AF632" s="109"/>
      <c r="AG632" s="109"/>
      <c r="AH632" s="109"/>
      <c r="AI632" s="109"/>
      <c r="AJ632" s="109"/>
      <c r="AK632" s="109"/>
      <c r="AL632" s="109"/>
      <c r="AM632" s="109"/>
      <c r="AN632" s="109"/>
      <c r="AO632" s="109"/>
      <c r="AP632" s="109"/>
      <c r="AQ632" s="109"/>
      <c r="AR632" s="109"/>
      <c r="AS632" s="109"/>
      <c r="AT632" s="109"/>
      <c r="AU632" s="109"/>
      <c r="AV632" s="109"/>
      <c r="AW632" s="109"/>
      <c r="AX632" s="109"/>
      <c r="AY632" s="109"/>
      <c r="AZ632" s="109"/>
    </row>
    <row r="633" spans="1:52" ht="0.75" customHeight="1" x14ac:dyDescent="0.45">
      <c r="A633" s="5">
        <v>48</v>
      </c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  <c r="AH633" s="109"/>
      <c r="AI633" s="109"/>
      <c r="AJ633" s="109"/>
      <c r="AK633" s="109"/>
      <c r="AL633" s="109"/>
      <c r="AM633" s="109"/>
      <c r="AN633" s="109"/>
      <c r="AO633" s="109"/>
      <c r="AP633" s="109"/>
      <c r="AQ633" s="109"/>
      <c r="AR633" s="109"/>
      <c r="AS633" s="109"/>
      <c r="AT633" s="109"/>
      <c r="AU633" s="109"/>
      <c r="AV633" s="109"/>
      <c r="AW633" s="109"/>
      <c r="AX633" s="109"/>
      <c r="AY633" s="109"/>
      <c r="AZ633" s="109"/>
    </row>
    <row r="634" spans="1:52" ht="0.75" customHeight="1" x14ac:dyDescent="0.45">
      <c r="A634" s="5">
        <v>49</v>
      </c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  <c r="AL634" s="109"/>
      <c r="AM634" s="109"/>
      <c r="AN634" s="109"/>
      <c r="AO634" s="109"/>
      <c r="AP634" s="109"/>
      <c r="AQ634" s="109"/>
      <c r="AR634" s="109"/>
      <c r="AS634" s="109"/>
      <c r="AT634" s="109"/>
      <c r="AU634" s="109"/>
      <c r="AV634" s="109"/>
      <c r="AW634" s="109"/>
      <c r="AX634" s="109"/>
      <c r="AY634" s="109"/>
      <c r="AZ634" s="109"/>
    </row>
    <row r="635" spans="1:52" ht="0.75" customHeight="1" x14ac:dyDescent="0.45">
      <c r="A635" s="5">
        <v>50</v>
      </c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  <c r="AL635" s="109"/>
      <c r="AM635" s="109"/>
      <c r="AN635" s="109"/>
      <c r="AO635" s="109"/>
      <c r="AP635" s="109"/>
      <c r="AQ635" s="109"/>
      <c r="AR635" s="109"/>
      <c r="AS635" s="109"/>
      <c r="AT635" s="109"/>
      <c r="AU635" s="109"/>
      <c r="AV635" s="109"/>
      <c r="AW635" s="109"/>
      <c r="AX635" s="109"/>
      <c r="AY635" s="109"/>
      <c r="AZ635" s="109"/>
    </row>
    <row r="636" spans="1:52" x14ac:dyDescent="0.45"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9"/>
      <c r="AS636" s="109"/>
      <c r="AT636" s="109"/>
      <c r="AU636" s="109"/>
      <c r="AV636" s="109"/>
      <c r="AW636" s="109"/>
      <c r="AX636" s="109"/>
      <c r="AY636" s="109"/>
      <c r="AZ636" s="109"/>
    </row>
    <row r="637" spans="1:52" x14ac:dyDescent="0.45"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9"/>
      <c r="AS637" s="109"/>
      <c r="AT637" s="109"/>
      <c r="AU637" s="109"/>
      <c r="AV637" s="109"/>
      <c r="AW637" s="109"/>
      <c r="AX637" s="109"/>
      <c r="AY637" s="109"/>
      <c r="AZ637" s="109"/>
    </row>
    <row r="638" spans="1:52" x14ac:dyDescent="0.45"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9"/>
      <c r="AS638" s="109"/>
      <c r="AT638" s="109"/>
      <c r="AU638" s="109"/>
      <c r="AV638" s="109"/>
      <c r="AW638" s="109"/>
      <c r="AX638" s="109"/>
      <c r="AY638" s="109"/>
      <c r="AZ638" s="109"/>
    </row>
    <row r="639" spans="1:52" x14ac:dyDescent="0.45"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  <c r="AL639" s="109"/>
      <c r="AM639" s="109"/>
      <c r="AN639" s="109"/>
      <c r="AO639" s="109"/>
      <c r="AP639" s="109"/>
      <c r="AQ639" s="109"/>
      <c r="AR639" s="109"/>
      <c r="AS639" s="109"/>
      <c r="AT639" s="109"/>
      <c r="AU639" s="109"/>
      <c r="AV639" s="109"/>
      <c r="AW639" s="109"/>
      <c r="AX639" s="109"/>
      <c r="AY639" s="109"/>
      <c r="AZ639" s="109"/>
    </row>
    <row r="640" spans="1:52" x14ac:dyDescent="0.45"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/>
      <c r="AM640" s="109"/>
      <c r="AN640" s="109"/>
      <c r="AO640" s="109"/>
      <c r="AP640" s="109"/>
      <c r="AQ640" s="109"/>
      <c r="AR640" s="109"/>
      <c r="AS640" s="109"/>
      <c r="AT640" s="109"/>
      <c r="AU640" s="109"/>
      <c r="AV640" s="109"/>
      <c r="AW640" s="109"/>
      <c r="AX640" s="109"/>
      <c r="AY640" s="109"/>
      <c r="AZ640" s="109"/>
    </row>
    <row r="641" spans="20:52" x14ac:dyDescent="0.45"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  <c r="AL641" s="109"/>
      <c r="AM641" s="109"/>
      <c r="AN641" s="109"/>
      <c r="AO641" s="109"/>
      <c r="AP641" s="109"/>
      <c r="AQ641" s="109"/>
      <c r="AR641" s="109"/>
      <c r="AS641" s="109"/>
      <c r="AT641" s="109"/>
      <c r="AU641" s="109"/>
      <c r="AV641" s="109"/>
      <c r="AW641" s="109"/>
      <c r="AX641" s="109"/>
      <c r="AY641" s="109"/>
      <c r="AZ641" s="109"/>
    </row>
    <row r="642" spans="20:52" x14ac:dyDescent="0.45"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  <c r="AL642" s="109"/>
      <c r="AM642" s="109"/>
      <c r="AN642" s="109"/>
      <c r="AO642" s="109"/>
      <c r="AP642" s="109"/>
      <c r="AQ642" s="109"/>
      <c r="AR642" s="109"/>
      <c r="AS642" s="109"/>
      <c r="AT642" s="109"/>
      <c r="AU642" s="109"/>
      <c r="AV642" s="109"/>
      <c r="AW642" s="109"/>
      <c r="AX642" s="109"/>
      <c r="AY642" s="109"/>
      <c r="AZ642" s="109"/>
    </row>
    <row r="643" spans="20:52" x14ac:dyDescent="0.45"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  <c r="AD643" s="109"/>
      <c r="AE643" s="109"/>
      <c r="AF643" s="109"/>
      <c r="AG643" s="109"/>
      <c r="AH643" s="109"/>
      <c r="AI643" s="109"/>
      <c r="AJ643" s="109"/>
      <c r="AK643" s="109"/>
      <c r="AL643" s="109"/>
      <c r="AM643" s="109"/>
      <c r="AN643" s="109"/>
      <c r="AO643" s="109"/>
      <c r="AP643" s="109"/>
      <c r="AQ643" s="109"/>
      <c r="AR643" s="109"/>
      <c r="AS643" s="109"/>
      <c r="AT643" s="109"/>
      <c r="AU643" s="109"/>
      <c r="AV643" s="109"/>
      <c r="AW643" s="109"/>
      <c r="AX643" s="109"/>
      <c r="AY643" s="109"/>
      <c r="AZ643" s="109"/>
    </row>
    <row r="644" spans="20:52" x14ac:dyDescent="0.45">
      <c r="T644" s="109"/>
      <c r="U644" s="109"/>
      <c r="V644" s="109"/>
      <c r="W644" s="109"/>
      <c r="X644" s="109"/>
      <c r="Y644" s="109"/>
      <c r="Z644" s="109"/>
      <c r="AA644" s="109"/>
      <c r="AB644" s="109"/>
      <c r="AC644" s="109"/>
      <c r="AD644" s="109"/>
      <c r="AE644" s="109"/>
      <c r="AF644" s="109"/>
      <c r="AG644" s="109"/>
      <c r="AH644" s="109"/>
      <c r="AI644" s="109"/>
      <c r="AJ644" s="109"/>
      <c r="AK644" s="109"/>
      <c r="AL644" s="109"/>
      <c r="AM644" s="109"/>
      <c r="AN644" s="109"/>
      <c r="AO644" s="109"/>
      <c r="AP644" s="109"/>
      <c r="AQ644" s="109"/>
      <c r="AR644" s="109"/>
      <c r="AS644" s="109"/>
      <c r="AT644" s="109"/>
      <c r="AU644" s="109"/>
      <c r="AV644" s="109"/>
      <c r="AW644" s="109"/>
      <c r="AX644" s="109"/>
      <c r="AY644" s="109"/>
      <c r="AZ644" s="109"/>
    </row>
    <row r="645" spans="20:52" x14ac:dyDescent="0.45"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/>
      <c r="AD645" s="109"/>
      <c r="AE645" s="109"/>
      <c r="AF645" s="109"/>
      <c r="AG645" s="109"/>
      <c r="AH645" s="109"/>
      <c r="AI645" s="109"/>
      <c r="AJ645" s="109"/>
      <c r="AK645" s="109"/>
      <c r="AL645" s="109"/>
      <c r="AM645" s="109"/>
      <c r="AN645" s="109"/>
      <c r="AO645" s="109"/>
      <c r="AP645" s="109"/>
      <c r="AQ645" s="109"/>
      <c r="AR645" s="109"/>
      <c r="AS645" s="109"/>
      <c r="AT645" s="109"/>
      <c r="AU645" s="109"/>
      <c r="AV645" s="109"/>
      <c r="AW645" s="109"/>
      <c r="AX645" s="109"/>
      <c r="AY645" s="109"/>
      <c r="AZ645" s="109"/>
    </row>
    <row r="646" spans="20:52" x14ac:dyDescent="0.45"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  <c r="AD646" s="109"/>
      <c r="AE646" s="109"/>
      <c r="AF646" s="109"/>
      <c r="AG646" s="109"/>
      <c r="AH646" s="109"/>
      <c r="AI646" s="109"/>
      <c r="AJ646" s="109"/>
      <c r="AK646" s="109"/>
      <c r="AL646" s="109"/>
      <c r="AM646" s="109"/>
      <c r="AN646" s="109"/>
      <c r="AO646" s="109"/>
      <c r="AP646" s="109"/>
      <c r="AQ646" s="109"/>
      <c r="AR646" s="109"/>
      <c r="AS646" s="109"/>
      <c r="AT646" s="109"/>
      <c r="AU646" s="109"/>
      <c r="AV646" s="109"/>
      <c r="AW646" s="109"/>
      <c r="AX646" s="109"/>
      <c r="AY646" s="109"/>
      <c r="AZ646" s="109"/>
    </row>
    <row r="647" spans="20:52" x14ac:dyDescent="0.45"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  <c r="AL647" s="109"/>
      <c r="AM647" s="109"/>
      <c r="AN647" s="109"/>
      <c r="AO647" s="109"/>
      <c r="AP647" s="109"/>
      <c r="AQ647" s="109"/>
      <c r="AR647" s="109"/>
      <c r="AS647" s="109"/>
      <c r="AT647" s="109"/>
      <c r="AU647" s="109"/>
      <c r="AV647" s="109"/>
      <c r="AW647" s="109"/>
      <c r="AX647" s="109"/>
      <c r="AY647" s="109"/>
      <c r="AZ647" s="109"/>
    </row>
    <row r="648" spans="20:52" x14ac:dyDescent="0.45">
      <c r="T648" s="109"/>
      <c r="U648" s="109"/>
      <c r="V648" s="109"/>
      <c r="W648" s="109"/>
      <c r="X648" s="109"/>
      <c r="Y648" s="109"/>
      <c r="Z648" s="109"/>
      <c r="AA648" s="109"/>
      <c r="AB648" s="109"/>
      <c r="AC648" s="109"/>
      <c r="AD648" s="109"/>
      <c r="AE648" s="109"/>
      <c r="AF648" s="109"/>
      <c r="AG648" s="109"/>
      <c r="AH648" s="109"/>
      <c r="AI648" s="109"/>
      <c r="AJ648" s="109"/>
      <c r="AK648" s="109"/>
      <c r="AL648" s="109"/>
      <c r="AM648" s="109"/>
      <c r="AN648" s="109"/>
      <c r="AO648" s="109"/>
      <c r="AP648" s="109"/>
      <c r="AQ648" s="109"/>
      <c r="AR648" s="109"/>
      <c r="AS648" s="109"/>
      <c r="AT648" s="109"/>
      <c r="AU648" s="109"/>
      <c r="AV648" s="109"/>
      <c r="AW648" s="109"/>
      <c r="AX648" s="109"/>
      <c r="AY648" s="109"/>
      <c r="AZ648" s="109"/>
    </row>
    <row r="649" spans="20:52" x14ac:dyDescent="0.45"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  <c r="AD649" s="109"/>
      <c r="AE649" s="109"/>
      <c r="AF649" s="109"/>
      <c r="AG649" s="109"/>
      <c r="AH649" s="109"/>
      <c r="AI649" s="109"/>
      <c r="AJ649" s="109"/>
      <c r="AK649" s="109"/>
      <c r="AL649" s="109"/>
      <c r="AM649" s="109"/>
      <c r="AN649" s="109"/>
      <c r="AO649" s="109"/>
      <c r="AP649" s="109"/>
      <c r="AQ649" s="109"/>
      <c r="AR649" s="109"/>
      <c r="AS649" s="109"/>
      <c r="AT649" s="109"/>
      <c r="AU649" s="109"/>
      <c r="AV649" s="109"/>
      <c r="AW649" s="109"/>
      <c r="AX649" s="109"/>
      <c r="AY649" s="109"/>
      <c r="AZ649" s="109"/>
    </row>
    <row r="650" spans="20:52" x14ac:dyDescent="0.45"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/>
      <c r="AM650" s="109"/>
      <c r="AN650" s="109"/>
      <c r="AO650" s="109"/>
      <c r="AP650" s="109"/>
      <c r="AQ650" s="109"/>
      <c r="AR650" s="109"/>
      <c r="AS650" s="109"/>
      <c r="AT650" s="109"/>
      <c r="AU650" s="109"/>
      <c r="AV650" s="109"/>
      <c r="AW650" s="109"/>
      <c r="AX650" s="109"/>
      <c r="AY650" s="109"/>
      <c r="AZ650" s="109"/>
    </row>
    <row r="651" spans="20:52" x14ac:dyDescent="0.45"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/>
      <c r="AM651" s="109"/>
      <c r="AN651" s="109"/>
      <c r="AO651" s="109"/>
      <c r="AP651" s="109"/>
      <c r="AQ651" s="109"/>
      <c r="AR651" s="109"/>
      <c r="AS651" s="109"/>
      <c r="AT651" s="109"/>
      <c r="AU651" s="109"/>
      <c r="AV651" s="109"/>
      <c r="AW651" s="109"/>
      <c r="AX651" s="109"/>
      <c r="AY651" s="109"/>
      <c r="AZ651" s="109"/>
    </row>
    <row r="652" spans="20:52" x14ac:dyDescent="0.45"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  <c r="AD652" s="109"/>
      <c r="AE652" s="109"/>
      <c r="AF652" s="109"/>
      <c r="AG652" s="109"/>
      <c r="AH652" s="109"/>
      <c r="AI652" s="109"/>
      <c r="AJ652" s="109"/>
      <c r="AK652" s="109"/>
      <c r="AL652" s="109"/>
      <c r="AM652" s="109"/>
      <c r="AN652" s="109"/>
      <c r="AO652" s="109"/>
      <c r="AP652" s="109"/>
      <c r="AQ652" s="109"/>
      <c r="AR652" s="109"/>
      <c r="AS652" s="109"/>
      <c r="AT652" s="109"/>
      <c r="AU652" s="109"/>
      <c r="AV652" s="109"/>
      <c r="AW652" s="109"/>
      <c r="AX652" s="109"/>
      <c r="AY652" s="109"/>
      <c r="AZ652" s="109"/>
    </row>
    <row r="653" spans="20:52" x14ac:dyDescent="0.45"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/>
      <c r="AM653" s="109"/>
      <c r="AN653" s="109"/>
      <c r="AO653" s="109"/>
      <c r="AP653" s="109"/>
      <c r="AQ653" s="109"/>
      <c r="AR653" s="109"/>
      <c r="AS653" s="109"/>
      <c r="AT653" s="109"/>
      <c r="AU653" s="109"/>
      <c r="AV653" s="109"/>
      <c r="AW653" s="109"/>
      <c r="AX653" s="109"/>
      <c r="AY653" s="109"/>
      <c r="AZ653" s="109"/>
    </row>
    <row r="654" spans="20:52" x14ac:dyDescent="0.45"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  <c r="AL654" s="109"/>
      <c r="AM654" s="109"/>
      <c r="AN654" s="109"/>
      <c r="AO654" s="109"/>
      <c r="AP654" s="109"/>
      <c r="AQ654" s="109"/>
      <c r="AR654" s="109"/>
      <c r="AS654" s="109"/>
      <c r="AT654" s="109"/>
      <c r="AU654" s="109"/>
      <c r="AV654" s="109"/>
      <c r="AW654" s="109"/>
      <c r="AX654" s="109"/>
      <c r="AY654" s="109"/>
      <c r="AZ654" s="109"/>
    </row>
    <row r="655" spans="20:52" x14ac:dyDescent="0.45"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/>
      <c r="AD655" s="109"/>
      <c r="AE655" s="109"/>
      <c r="AF655" s="109"/>
      <c r="AG655" s="109"/>
      <c r="AH655" s="109"/>
      <c r="AI655" s="109"/>
      <c r="AJ655" s="109"/>
      <c r="AK655" s="109"/>
      <c r="AL655" s="109"/>
      <c r="AM655" s="109"/>
      <c r="AN655" s="109"/>
      <c r="AO655" s="109"/>
      <c r="AP655" s="109"/>
      <c r="AQ655" s="109"/>
      <c r="AR655" s="109"/>
      <c r="AS655" s="109"/>
      <c r="AT655" s="109"/>
      <c r="AU655" s="109"/>
      <c r="AV655" s="109"/>
      <c r="AW655" s="109"/>
      <c r="AX655" s="109"/>
      <c r="AY655" s="109"/>
      <c r="AZ655" s="109"/>
    </row>
    <row r="656" spans="20:52" x14ac:dyDescent="0.45">
      <c r="T656" s="109"/>
      <c r="U656" s="109"/>
      <c r="V656" s="109"/>
      <c r="W656" s="109"/>
      <c r="X656" s="109"/>
      <c r="Y656" s="109"/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  <c r="AL656" s="109"/>
      <c r="AM656" s="109"/>
      <c r="AN656" s="109"/>
      <c r="AO656" s="109"/>
      <c r="AP656" s="109"/>
      <c r="AQ656" s="109"/>
      <c r="AR656" s="109"/>
      <c r="AS656" s="109"/>
      <c r="AT656" s="109"/>
      <c r="AU656" s="109"/>
      <c r="AV656" s="109"/>
      <c r="AW656" s="109"/>
      <c r="AX656" s="109"/>
      <c r="AY656" s="109"/>
      <c r="AZ656" s="109"/>
    </row>
    <row r="657" spans="20:52" x14ac:dyDescent="0.45"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  <c r="AT657" s="109"/>
      <c r="AU657" s="109"/>
      <c r="AV657" s="109"/>
      <c r="AW657" s="109"/>
      <c r="AX657" s="109"/>
      <c r="AY657" s="109"/>
      <c r="AZ657" s="109"/>
    </row>
    <row r="658" spans="20:52" x14ac:dyDescent="0.45"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  <c r="AT658" s="109"/>
      <c r="AU658" s="109"/>
      <c r="AV658" s="109"/>
      <c r="AW658" s="109"/>
      <c r="AX658" s="109"/>
      <c r="AY658" s="109"/>
      <c r="AZ658" s="109"/>
    </row>
    <row r="659" spans="20:52" x14ac:dyDescent="0.45"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Q659" s="109"/>
      <c r="AR659" s="109"/>
      <c r="AS659" s="109"/>
      <c r="AT659" s="109"/>
      <c r="AU659" s="109"/>
      <c r="AV659" s="109"/>
      <c r="AW659" s="109"/>
      <c r="AX659" s="109"/>
      <c r="AY659" s="109"/>
      <c r="AZ659" s="109"/>
    </row>
    <row r="660" spans="20:52" x14ac:dyDescent="0.45"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  <c r="AT660" s="109"/>
      <c r="AU660" s="109"/>
      <c r="AV660" s="109"/>
      <c r="AW660" s="109"/>
      <c r="AX660" s="109"/>
      <c r="AY660" s="109"/>
      <c r="AZ660" s="109"/>
    </row>
    <row r="661" spans="20:52" x14ac:dyDescent="0.45"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  <c r="AL661" s="109"/>
      <c r="AM661" s="109"/>
      <c r="AN661" s="109"/>
      <c r="AO661" s="109"/>
      <c r="AP661" s="109"/>
      <c r="AQ661" s="109"/>
      <c r="AR661" s="109"/>
      <c r="AS661" s="109"/>
      <c r="AT661" s="109"/>
      <c r="AU661" s="109"/>
      <c r="AV661" s="109"/>
      <c r="AW661" s="109"/>
      <c r="AX661" s="109"/>
      <c r="AY661" s="109"/>
      <c r="AZ661" s="109"/>
    </row>
    <row r="662" spans="20:52" x14ac:dyDescent="0.45"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  <c r="AD662" s="109"/>
      <c r="AE662" s="109"/>
      <c r="AF662" s="109"/>
      <c r="AG662" s="109"/>
      <c r="AH662" s="109"/>
      <c r="AI662" s="109"/>
      <c r="AJ662" s="109"/>
      <c r="AK662" s="109"/>
      <c r="AL662" s="109"/>
      <c r="AM662" s="109"/>
      <c r="AN662" s="109"/>
      <c r="AO662" s="109"/>
      <c r="AP662" s="109"/>
      <c r="AQ662" s="109"/>
      <c r="AR662" s="109"/>
      <c r="AS662" s="109"/>
      <c r="AT662" s="109"/>
      <c r="AU662" s="109"/>
      <c r="AV662" s="109"/>
      <c r="AW662" s="109"/>
      <c r="AX662" s="109"/>
      <c r="AY662" s="109"/>
      <c r="AZ662" s="109"/>
    </row>
    <row r="663" spans="20:52" x14ac:dyDescent="0.45"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  <c r="AL663" s="109"/>
      <c r="AM663" s="109"/>
      <c r="AN663" s="109"/>
      <c r="AO663" s="109"/>
      <c r="AP663" s="109"/>
      <c r="AQ663" s="109"/>
      <c r="AR663" s="109"/>
      <c r="AS663" s="109"/>
      <c r="AT663" s="109"/>
      <c r="AU663" s="109"/>
      <c r="AV663" s="109"/>
      <c r="AW663" s="109"/>
      <c r="AX663" s="109"/>
      <c r="AY663" s="109"/>
      <c r="AZ663" s="109"/>
    </row>
    <row r="664" spans="20:52" x14ac:dyDescent="0.45"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9"/>
      <c r="AK664" s="109"/>
      <c r="AL664" s="109"/>
      <c r="AM664" s="109"/>
      <c r="AN664" s="109"/>
      <c r="AO664" s="109"/>
      <c r="AP664" s="109"/>
      <c r="AQ664" s="109"/>
      <c r="AR664" s="109"/>
      <c r="AS664" s="109"/>
      <c r="AT664" s="109"/>
      <c r="AU664" s="109"/>
      <c r="AV664" s="109"/>
      <c r="AW664" s="109"/>
      <c r="AX664" s="109"/>
      <c r="AY664" s="109"/>
      <c r="AZ664" s="109"/>
    </row>
    <row r="665" spans="20:52" x14ac:dyDescent="0.45"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/>
      <c r="AM665" s="109"/>
      <c r="AN665" s="109"/>
      <c r="AO665" s="109"/>
      <c r="AP665" s="109"/>
      <c r="AQ665" s="109"/>
      <c r="AR665" s="109"/>
      <c r="AS665" s="109"/>
      <c r="AT665" s="109"/>
      <c r="AU665" s="109"/>
      <c r="AV665" s="109"/>
      <c r="AW665" s="109"/>
      <c r="AX665" s="109"/>
      <c r="AY665" s="109"/>
      <c r="AZ665" s="109"/>
    </row>
    <row r="666" spans="20:52" x14ac:dyDescent="0.45"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Q666" s="109"/>
      <c r="AR666" s="109"/>
      <c r="AS666" s="109"/>
      <c r="AT666" s="109"/>
      <c r="AU666" s="109"/>
      <c r="AV666" s="109"/>
      <c r="AW666" s="109"/>
      <c r="AX666" s="109"/>
      <c r="AY666" s="109"/>
      <c r="AZ666" s="109"/>
    </row>
    <row r="667" spans="20:52" x14ac:dyDescent="0.45"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Q667" s="109"/>
      <c r="AR667" s="109"/>
      <c r="AS667" s="109"/>
      <c r="AT667" s="109"/>
      <c r="AU667" s="109"/>
      <c r="AV667" s="109"/>
      <c r="AW667" s="109"/>
      <c r="AX667" s="109"/>
      <c r="AY667" s="109"/>
      <c r="AZ667" s="109"/>
    </row>
    <row r="668" spans="20:52" x14ac:dyDescent="0.45"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  <c r="AH668" s="109"/>
      <c r="AI668" s="109"/>
      <c r="AJ668" s="109"/>
      <c r="AK668" s="109"/>
      <c r="AL668" s="109"/>
      <c r="AM668" s="109"/>
      <c r="AN668" s="109"/>
      <c r="AO668" s="109"/>
      <c r="AP668" s="109"/>
      <c r="AQ668" s="109"/>
      <c r="AR668" s="109"/>
      <c r="AS668" s="109"/>
      <c r="AT668" s="109"/>
      <c r="AU668" s="109"/>
      <c r="AV668" s="109"/>
      <c r="AW668" s="109"/>
      <c r="AX668" s="109"/>
      <c r="AY668" s="109"/>
      <c r="AZ668" s="109"/>
    </row>
    <row r="669" spans="20:52" x14ac:dyDescent="0.45"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  <c r="AH669" s="109"/>
      <c r="AI669" s="109"/>
      <c r="AJ669" s="109"/>
      <c r="AK669" s="109"/>
      <c r="AL669" s="109"/>
      <c r="AM669" s="109"/>
      <c r="AN669" s="109"/>
      <c r="AO669" s="109"/>
      <c r="AP669" s="109"/>
      <c r="AQ669" s="109"/>
      <c r="AR669" s="109"/>
      <c r="AS669" s="109"/>
      <c r="AT669" s="109"/>
      <c r="AU669" s="109"/>
      <c r="AV669" s="109"/>
      <c r="AW669" s="109"/>
      <c r="AX669" s="109"/>
      <c r="AY669" s="109"/>
      <c r="AZ669" s="109"/>
    </row>
    <row r="670" spans="20:52" x14ac:dyDescent="0.45"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  <c r="AH670" s="109"/>
      <c r="AI670" s="109"/>
      <c r="AJ670" s="109"/>
      <c r="AK670" s="109"/>
      <c r="AL670" s="109"/>
      <c r="AM670" s="109"/>
      <c r="AN670" s="109"/>
      <c r="AO670" s="109"/>
      <c r="AP670" s="109"/>
      <c r="AQ670" s="109"/>
      <c r="AR670" s="109"/>
      <c r="AS670" s="109"/>
      <c r="AT670" s="109"/>
      <c r="AU670" s="109"/>
      <c r="AV670" s="109"/>
      <c r="AW670" s="109"/>
      <c r="AX670" s="109"/>
      <c r="AY670" s="109"/>
      <c r="AZ670" s="109"/>
    </row>
    <row r="671" spans="20:52" x14ac:dyDescent="0.45">
      <c r="T671" s="109"/>
      <c r="U671" s="109"/>
      <c r="V671" s="109"/>
      <c r="W671" s="109"/>
      <c r="X671" s="109"/>
      <c r="Y671" s="109"/>
      <c r="Z671" s="109"/>
      <c r="AA671" s="109"/>
      <c r="AB671" s="109"/>
      <c r="AC671" s="109"/>
      <c r="AD671" s="109"/>
      <c r="AE671" s="109"/>
      <c r="AF671" s="109"/>
      <c r="AG671" s="109"/>
      <c r="AH671" s="109"/>
      <c r="AI671" s="109"/>
      <c r="AJ671" s="109"/>
      <c r="AK671" s="109"/>
      <c r="AL671" s="109"/>
      <c r="AM671" s="109"/>
      <c r="AN671" s="109"/>
      <c r="AO671" s="109"/>
      <c r="AP671" s="109"/>
      <c r="AQ671" s="109"/>
      <c r="AR671" s="109"/>
      <c r="AS671" s="109"/>
      <c r="AT671" s="109"/>
      <c r="AU671" s="109"/>
      <c r="AV671" s="109"/>
      <c r="AW671" s="109"/>
      <c r="AX671" s="109"/>
      <c r="AY671" s="109"/>
      <c r="AZ671" s="109"/>
    </row>
    <row r="672" spans="20:52" x14ac:dyDescent="0.45">
      <c r="T672" s="109"/>
      <c r="U672" s="109"/>
      <c r="V672" s="109"/>
      <c r="W672" s="109"/>
      <c r="X672" s="109"/>
      <c r="Y672" s="109"/>
      <c r="Z672" s="109"/>
      <c r="AA672" s="109"/>
      <c r="AB672" s="109"/>
      <c r="AC672" s="109"/>
      <c r="AD672" s="109"/>
      <c r="AE672" s="109"/>
      <c r="AF672" s="109"/>
      <c r="AG672" s="109"/>
      <c r="AH672" s="109"/>
      <c r="AI672" s="109"/>
      <c r="AJ672" s="109"/>
      <c r="AK672" s="109"/>
      <c r="AL672" s="109"/>
      <c r="AM672" s="109"/>
      <c r="AN672" s="109"/>
      <c r="AO672" s="109"/>
      <c r="AP672" s="109"/>
      <c r="AQ672" s="109"/>
      <c r="AR672" s="109"/>
      <c r="AS672" s="109"/>
      <c r="AT672" s="109"/>
      <c r="AU672" s="109"/>
      <c r="AV672" s="109"/>
      <c r="AW672" s="109"/>
      <c r="AX672" s="109"/>
      <c r="AY672" s="109"/>
      <c r="AZ672" s="109"/>
    </row>
    <row r="673" spans="20:52" x14ac:dyDescent="0.45">
      <c r="T673" s="109"/>
      <c r="U673" s="109"/>
      <c r="V673" s="109"/>
      <c r="W673" s="109"/>
      <c r="X673" s="109"/>
      <c r="Y673" s="109"/>
      <c r="Z673" s="109"/>
      <c r="AA673" s="109"/>
      <c r="AB673" s="109"/>
      <c r="AC673" s="109"/>
      <c r="AD673" s="109"/>
      <c r="AE673" s="109"/>
      <c r="AF673" s="109"/>
      <c r="AG673" s="109"/>
      <c r="AH673" s="109"/>
      <c r="AI673" s="109"/>
      <c r="AJ673" s="109"/>
      <c r="AK673" s="109"/>
      <c r="AL673" s="109"/>
      <c r="AM673" s="109"/>
      <c r="AN673" s="109"/>
      <c r="AO673" s="109"/>
      <c r="AP673" s="109"/>
      <c r="AQ673" s="109"/>
      <c r="AR673" s="109"/>
      <c r="AS673" s="109"/>
      <c r="AT673" s="109"/>
      <c r="AU673" s="109"/>
      <c r="AV673" s="109"/>
      <c r="AW673" s="109"/>
      <c r="AX673" s="109"/>
      <c r="AY673" s="109"/>
      <c r="AZ673" s="109"/>
    </row>
    <row r="674" spans="20:52" x14ac:dyDescent="0.45">
      <c r="T674" s="109"/>
      <c r="U674" s="109"/>
      <c r="V674" s="109"/>
      <c r="W674" s="109"/>
      <c r="X674" s="109"/>
      <c r="Y674" s="109"/>
      <c r="Z674" s="109"/>
      <c r="AA674" s="109"/>
      <c r="AB674" s="109"/>
      <c r="AC674" s="109"/>
      <c r="AD674" s="109"/>
      <c r="AE674" s="109"/>
      <c r="AF674" s="109"/>
      <c r="AG674" s="109"/>
      <c r="AH674" s="109"/>
      <c r="AI674" s="109"/>
      <c r="AJ674" s="109"/>
      <c r="AK674" s="109"/>
      <c r="AL674" s="109"/>
      <c r="AM674" s="109"/>
      <c r="AN674" s="109"/>
      <c r="AO674" s="109"/>
      <c r="AP674" s="109"/>
      <c r="AQ674" s="109"/>
      <c r="AR674" s="109"/>
      <c r="AS674" s="109"/>
      <c r="AT674" s="109"/>
      <c r="AU674" s="109"/>
      <c r="AV674" s="109"/>
      <c r="AW674" s="109"/>
      <c r="AX674" s="109"/>
      <c r="AY674" s="109"/>
      <c r="AZ674" s="109"/>
    </row>
    <row r="675" spans="20:52" x14ac:dyDescent="0.45">
      <c r="T675" s="109"/>
      <c r="U675" s="109"/>
      <c r="V675" s="109"/>
      <c r="W675" s="109"/>
      <c r="X675" s="109"/>
      <c r="Y675" s="109"/>
      <c r="Z675" s="109"/>
      <c r="AA675" s="109"/>
      <c r="AB675" s="109"/>
      <c r="AC675" s="109"/>
      <c r="AD675" s="109"/>
      <c r="AE675" s="109"/>
      <c r="AF675" s="109"/>
      <c r="AG675" s="109"/>
      <c r="AH675" s="109"/>
      <c r="AI675" s="109"/>
      <c r="AJ675" s="109"/>
      <c r="AK675" s="109"/>
      <c r="AL675" s="109"/>
      <c r="AM675" s="109"/>
      <c r="AN675" s="109"/>
      <c r="AO675" s="109"/>
      <c r="AP675" s="109"/>
      <c r="AQ675" s="109"/>
      <c r="AR675" s="109"/>
      <c r="AS675" s="109"/>
      <c r="AT675" s="109"/>
      <c r="AU675" s="109"/>
      <c r="AV675" s="109"/>
      <c r="AW675" s="109"/>
      <c r="AX675" s="109"/>
      <c r="AY675" s="109"/>
      <c r="AZ675" s="109"/>
    </row>
    <row r="676" spans="20:52" x14ac:dyDescent="0.45">
      <c r="T676" s="109"/>
      <c r="U676" s="109"/>
      <c r="V676" s="109"/>
      <c r="W676" s="109"/>
      <c r="X676" s="109"/>
      <c r="Y676" s="109"/>
      <c r="Z676" s="109"/>
      <c r="AA676" s="109"/>
      <c r="AB676" s="109"/>
      <c r="AC676" s="109"/>
      <c r="AD676" s="109"/>
      <c r="AE676" s="109"/>
      <c r="AF676" s="109"/>
      <c r="AG676" s="109"/>
      <c r="AH676" s="109"/>
      <c r="AI676" s="109"/>
      <c r="AJ676" s="109"/>
      <c r="AK676" s="109"/>
      <c r="AL676" s="109"/>
      <c r="AM676" s="109"/>
      <c r="AN676" s="109"/>
      <c r="AO676" s="109"/>
      <c r="AP676" s="109"/>
      <c r="AQ676" s="109"/>
      <c r="AR676" s="109"/>
      <c r="AS676" s="109"/>
      <c r="AT676" s="109"/>
      <c r="AU676" s="109"/>
      <c r="AV676" s="109"/>
      <c r="AW676" s="109"/>
      <c r="AX676" s="109"/>
      <c r="AY676" s="109"/>
      <c r="AZ676" s="109"/>
    </row>
    <row r="677" spans="20:52" x14ac:dyDescent="0.45"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  <c r="AD677" s="109"/>
      <c r="AE677" s="109"/>
      <c r="AF677" s="109"/>
      <c r="AG677" s="109"/>
      <c r="AH677" s="109"/>
      <c r="AI677" s="109"/>
      <c r="AJ677" s="109"/>
      <c r="AK677" s="109"/>
      <c r="AL677" s="109"/>
      <c r="AM677" s="109"/>
      <c r="AN677" s="109"/>
      <c r="AO677" s="109"/>
      <c r="AP677" s="109"/>
      <c r="AQ677" s="109"/>
      <c r="AR677" s="109"/>
      <c r="AS677" s="109"/>
      <c r="AT677" s="109"/>
      <c r="AU677" s="109"/>
      <c r="AV677" s="109"/>
      <c r="AW677" s="109"/>
      <c r="AX677" s="109"/>
      <c r="AY677" s="109"/>
      <c r="AZ677" s="109"/>
    </row>
    <row r="678" spans="20:52" x14ac:dyDescent="0.45">
      <c r="T678" s="109"/>
      <c r="U678" s="109"/>
      <c r="V678" s="109"/>
      <c r="W678" s="109"/>
      <c r="X678" s="109"/>
      <c r="Y678" s="109"/>
      <c r="Z678" s="109"/>
      <c r="AA678" s="109"/>
      <c r="AB678" s="109"/>
      <c r="AC678" s="109"/>
      <c r="AD678" s="109"/>
      <c r="AE678" s="109"/>
      <c r="AF678" s="109"/>
      <c r="AG678" s="109"/>
      <c r="AH678" s="109"/>
      <c r="AI678" s="109"/>
      <c r="AJ678" s="109"/>
      <c r="AK678" s="109"/>
      <c r="AL678" s="109"/>
      <c r="AM678" s="109"/>
      <c r="AN678" s="109"/>
      <c r="AO678" s="109"/>
      <c r="AP678" s="109"/>
      <c r="AQ678" s="109"/>
      <c r="AR678" s="109"/>
      <c r="AS678" s="109"/>
      <c r="AT678" s="109"/>
      <c r="AU678" s="109"/>
      <c r="AV678" s="109"/>
      <c r="AW678" s="109"/>
      <c r="AX678" s="109"/>
      <c r="AY678" s="109"/>
      <c r="AZ678" s="109"/>
    </row>
    <row r="679" spans="20:52" x14ac:dyDescent="0.45">
      <c r="T679" s="109"/>
      <c r="U679" s="109"/>
      <c r="V679" s="109"/>
      <c r="W679" s="109"/>
      <c r="X679" s="109"/>
      <c r="Y679" s="109"/>
      <c r="Z679" s="109"/>
      <c r="AA679" s="109"/>
      <c r="AB679" s="109"/>
      <c r="AC679" s="109"/>
      <c r="AD679" s="109"/>
      <c r="AE679" s="109"/>
      <c r="AF679" s="109"/>
      <c r="AG679" s="109"/>
      <c r="AH679" s="109"/>
      <c r="AI679" s="109"/>
      <c r="AJ679" s="109"/>
      <c r="AK679" s="109"/>
      <c r="AL679" s="109"/>
      <c r="AM679" s="109"/>
      <c r="AN679" s="109"/>
      <c r="AO679" s="109"/>
      <c r="AP679" s="109"/>
      <c r="AQ679" s="109"/>
      <c r="AR679" s="109"/>
      <c r="AS679" s="109"/>
      <c r="AT679" s="109"/>
      <c r="AU679" s="109"/>
      <c r="AV679" s="109"/>
      <c r="AW679" s="109"/>
      <c r="AX679" s="109"/>
      <c r="AY679" s="109"/>
      <c r="AZ679" s="109"/>
    </row>
    <row r="680" spans="20:52" x14ac:dyDescent="0.45">
      <c r="T680" s="109"/>
      <c r="U680" s="109"/>
      <c r="V680" s="109"/>
      <c r="W680" s="109"/>
      <c r="X680" s="109"/>
      <c r="Y680" s="109"/>
      <c r="Z680" s="109"/>
      <c r="AA680" s="109"/>
      <c r="AB680" s="109"/>
      <c r="AC680" s="109"/>
      <c r="AD680" s="109"/>
      <c r="AE680" s="109"/>
      <c r="AF680" s="109"/>
      <c r="AG680" s="109"/>
      <c r="AH680" s="109"/>
      <c r="AI680" s="109"/>
      <c r="AJ680" s="109"/>
      <c r="AK680" s="109"/>
      <c r="AL680" s="109"/>
      <c r="AM680" s="109"/>
      <c r="AN680" s="109"/>
      <c r="AO680" s="109"/>
      <c r="AP680" s="109"/>
      <c r="AQ680" s="109"/>
      <c r="AR680" s="109"/>
      <c r="AS680" s="109"/>
      <c r="AT680" s="109"/>
      <c r="AU680" s="109"/>
      <c r="AV680" s="109"/>
      <c r="AW680" s="109"/>
      <c r="AX680" s="109"/>
      <c r="AY680" s="109"/>
      <c r="AZ680" s="109"/>
    </row>
    <row r="681" spans="20:52" x14ac:dyDescent="0.45">
      <c r="T681" s="109"/>
      <c r="U681" s="109"/>
      <c r="V681" s="109"/>
      <c r="W681" s="109"/>
      <c r="X681" s="109"/>
      <c r="Y681" s="109"/>
      <c r="Z681" s="109"/>
      <c r="AA681" s="109"/>
      <c r="AB681" s="109"/>
      <c r="AC681" s="109"/>
      <c r="AD681" s="109"/>
      <c r="AE681" s="109"/>
      <c r="AF681" s="109"/>
      <c r="AG681" s="109"/>
      <c r="AH681" s="109"/>
      <c r="AI681" s="109"/>
      <c r="AJ681" s="109"/>
      <c r="AK681" s="109"/>
      <c r="AL681" s="109"/>
      <c r="AM681" s="109"/>
      <c r="AN681" s="109"/>
      <c r="AO681" s="109"/>
      <c r="AP681" s="109"/>
      <c r="AQ681" s="109"/>
      <c r="AR681" s="109"/>
      <c r="AS681" s="109"/>
      <c r="AT681" s="109"/>
      <c r="AU681" s="109"/>
      <c r="AV681" s="109"/>
      <c r="AW681" s="109"/>
      <c r="AX681" s="109"/>
      <c r="AY681" s="109"/>
      <c r="AZ681" s="109"/>
    </row>
    <row r="682" spans="20:52" x14ac:dyDescent="0.45">
      <c r="T682" s="109"/>
      <c r="U682" s="109"/>
      <c r="V682" s="109"/>
      <c r="W682" s="109"/>
      <c r="X682" s="109"/>
      <c r="Y682" s="109"/>
      <c r="Z682" s="109"/>
      <c r="AA682" s="109"/>
      <c r="AB682" s="109"/>
      <c r="AC682" s="109"/>
      <c r="AD682" s="109"/>
      <c r="AE682" s="109"/>
      <c r="AF682" s="109"/>
      <c r="AG682" s="109"/>
      <c r="AH682" s="109"/>
      <c r="AI682" s="109"/>
      <c r="AJ682" s="109"/>
      <c r="AK682" s="109"/>
      <c r="AL682" s="109"/>
      <c r="AM682" s="109"/>
      <c r="AN682" s="109"/>
      <c r="AO682" s="109"/>
      <c r="AP682" s="109"/>
      <c r="AQ682" s="109"/>
      <c r="AR682" s="109"/>
      <c r="AS682" s="109"/>
      <c r="AT682" s="109"/>
      <c r="AU682" s="109"/>
      <c r="AV682" s="109"/>
      <c r="AW682" s="109"/>
      <c r="AX682" s="109"/>
      <c r="AY682" s="109"/>
      <c r="AZ682" s="109"/>
    </row>
    <row r="683" spans="20:52" x14ac:dyDescent="0.45">
      <c r="T683" s="109"/>
      <c r="U683" s="109"/>
      <c r="V683" s="109"/>
      <c r="W683" s="109"/>
      <c r="X683" s="109"/>
      <c r="Y683" s="109"/>
      <c r="Z683" s="109"/>
      <c r="AA683" s="109"/>
      <c r="AB683" s="109"/>
      <c r="AC683" s="109"/>
      <c r="AD683" s="109"/>
      <c r="AE683" s="109"/>
      <c r="AF683" s="109"/>
      <c r="AG683" s="109"/>
      <c r="AH683" s="109"/>
      <c r="AI683" s="109"/>
      <c r="AJ683" s="109"/>
      <c r="AK683" s="109"/>
      <c r="AL683" s="109"/>
      <c r="AM683" s="109"/>
      <c r="AN683" s="109"/>
      <c r="AO683" s="109"/>
      <c r="AP683" s="109"/>
      <c r="AQ683" s="109"/>
      <c r="AR683" s="109"/>
      <c r="AS683" s="109"/>
      <c r="AT683" s="109"/>
      <c r="AU683" s="109"/>
      <c r="AV683" s="109"/>
      <c r="AW683" s="109"/>
      <c r="AX683" s="109"/>
      <c r="AY683" s="109"/>
      <c r="AZ683" s="109"/>
    </row>
    <row r="684" spans="20:52" x14ac:dyDescent="0.45">
      <c r="T684" s="109"/>
      <c r="U684" s="109"/>
      <c r="V684" s="109"/>
      <c r="W684" s="109"/>
      <c r="X684" s="109"/>
      <c r="Y684" s="109"/>
      <c r="Z684" s="109"/>
      <c r="AA684" s="109"/>
      <c r="AB684" s="109"/>
      <c r="AC684" s="109"/>
      <c r="AD684" s="109"/>
      <c r="AE684" s="109"/>
      <c r="AF684" s="109"/>
      <c r="AG684" s="109"/>
      <c r="AH684" s="109"/>
      <c r="AI684" s="109"/>
      <c r="AJ684" s="109"/>
      <c r="AK684" s="109"/>
      <c r="AL684" s="109"/>
      <c r="AM684" s="109"/>
      <c r="AN684" s="109"/>
      <c r="AO684" s="109"/>
      <c r="AP684" s="109"/>
      <c r="AQ684" s="109"/>
      <c r="AR684" s="109"/>
      <c r="AS684" s="109"/>
      <c r="AT684" s="109"/>
      <c r="AU684" s="109"/>
      <c r="AV684" s="109"/>
      <c r="AW684" s="109"/>
      <c r="AX684" s="109"/>
      <c r="AY684" s="109"/>
      <c r="AZ684" s="109"/>
    </row>
    <row r="685" spans="20:52" x14ac:dyDescent="0.45">
      <c r="T685" s="109"/>
      <c r="U685" s="109"/>
      <c r="V685" s="109"/>
      <c r="W685" s="109"/>
      <c r="X685" s="109"/>
      <c r="Y685" s="109"/>
      <c r="Z685" s="109"/>
      <c r="AA685" s="109"/>
      <c r="AB685" s="109"/>
      <c r="AC685" s="109"/>
      <c r="AD685" s="109"/>
      <c r="AE685" s="109"/>
      <c r="AF685" s="109"/>
      <c r="AG685" s="109"/>
      <c r="AH685" s="109"/>
      <c r="AI685" s="109"/>
      <c r="AJ685" s="109"/>
      <c r="AK685" s="109"/>
      <c r="AL685" s="109"/>
      <c r="AM685" s="109"/>
      <c r="AN685" s="109"/>
      <c r="AO685" s="109"/>
      <c r="AP685" s="109"/>
      <c r="AQ685" s="109"/>
      <c r="AR685" s="109"/>
      <c r="AS685" s="109"/>
      <c r="AT685" s="109"/>
      <c r="AU685" s="109"/>
      <c r="AV685" s="109"/>
      <c r="AW685" s="109"/>
      <c r="AX685" s="109"/>
      <c r="AY685" s="109"/>
      <c r="AZ685" s="109"/>
    </row>
    <row r="686" spans="20:52" x14ac:dyDescent="0.45">
      <c r="T686" s="109"/>
      <c r="U686" s="109"/>
      <c r="V686" s="109"/>
      <c r="W686" s="109"/>
      <c r="X686" s="109"/>
      <c r="Y686" s="109"/>
      <c r="Z686" s="109"/>
      <c r="AA686" s="109"/>
      <c r="AB686" s="109"/>
      <c r="AC686" s="109"/>
      <c r="AD686" s="109"/>
      <c r="AE686" s="109"/>
      <c r="AF686" s="109"/>
      <c r="AG686" s="109"/>
      <c r="AH686" s="109"/>
      <c r="AI686" s="109"/>
      <c r="AJ686" s="109"/>
      <c r="AK686" s="109"/>
      <c r="AL686" s="109"/>
      <c r="AM686" s="109"/>
      <c r="AN686" s="109"/>
      <c r="AO686" s="109"/>
      <c r="AP686" s="109"/>
      <c r="AQ686" s="109"/>
      <c r="AR686" s="109"/>
      <c r="AS686" s="109"/>
      <c r="AT686" s="109"/>
      <c r="AU686" s="109"/>
      <c r="AV686" s="109"/>
      <c r="AW686" s="109"/>
      <c r="AX686" s="109"/>
      <c r="AY686" s="109"/>
      <c r="AZ686" s="109"/>
    </row>
    <row r="687" spans="20:52" x14ac:dyDescent="0.45">
      <c r="T687" s="109"/>
      <c r="U687" s="109"/>
      <c r="V687" s="109"/>
      <c r="W687" s="109"/>
      <c r="X687" s="109"/>
      <c r="Y687" s="109"/>
      <c r="Z687" s="109"/>
      <c r="AA687" s="109"/>
      <c r="AB687" s="109"/>
      <c r="AC687" s="109"/>
      <c r="AD687" s="109"/>
      <c r="AE687" s="109"/>
      <c r="AF687" s="109"/>
      <c r="AG687" s="109"/>
      <c r="AH687" s="109"/>
      <c r="AI687" s="109"/>
      <c r="AJ687" s="109"/>
      <c r="AK687" s="109"/>
      <c r="AL687" s="109"/>
      <c r="AM687" s="109"/>
      <c r="AN687" s="109"/>
      <c r="AO687" s="109"/>
      <c r="AP687" s="109"/>
      <c r="AQ687" s="109"/>
      <c r="AR687" s="109"/>
      <c r="AS687" s="109"/>
      <c r="AT687" s="109"/>
      <c r="AU687" s="109"/>
      <c r="AV687" s="109"/>
      <c r="AW687" s="109"/>
      <c r="AX687" s="109"/>
      <c r="AY687" s="109"/>
      <c r="AZ687" s="109"/>
    </row>
    <row r="688" spans="20:52" x14ac:dyDescent="0.45">
      <c r="T688" s="109"/>
      <c r="U688" s="109"/>
      <c r="V688" s="109"/>
      <c r="W688" s="109"/>
      <c r="X688" s="109"/>
      <c r="Y688" s="109"/>
      <c r="Z688" s="109"/>
      <c r="AA688" s="109"/>
      <c r="AB688" s="109"/>
      <c r="AC688" s="109"/>
      <c r="AD688" s="109"/>
      <c r="AE688" s="109"/>
      <c r="AF688" s="109"/>
      <c r="AG688" s="109"/>
      <c r="AH688" s="109"/>
      <c r="AI688" s="109"/>
      <c r="AJ688" s="109"/>
      <c r="AK688" s="109"/>
      <c r="AL688" s="109"/>
      <c r="AM688" s="109"/>
      <c r="AN688" s="109"/>
      <c r="AO688" s="109"/>
      <c r="AP688" s="109"/>
      <c r="AQ688" s="109"/>
      <c r="AR688" s="109"/>
      <c r="AS688" s="109"/>
      <c r="AT688" s="109"/>
      <c r="AU688" s="109"/>
      <c r="AV688" s="109"/>
      <c r="AW688" s="109"/>
      <c r="AX688" s="109"/>
      <c r="AY688" s="109"/>
      <c r="AZ688" s="109"/>
    </row>
    <row r="689" spans="20:52" x14ac:dyDescent="0.45">
      <c r="T689" s="109"/>
      <c r="U689" s="109"/>
      <c r="V689" s="109"/>
      <c r="W689" s="109"/>
      <c r="X689" s="109"/>
      <c r="Y689" s="109"/>
      <c r="Z689" s="109"/>
      <c r="AA689" s="109"/>
      <c r="AB689" s="109"/>
      <c r="AC689" s="109"/>
      <c r="AD689" s="109"/>
      <c r="AE689" s="109"/>
      <c r="AF689" s="109"/>
      <c r="AG689" s="109"/>
      <c r="AH689" s="109"/>
      <c r="AI689" s="109"/>
      <c r="AJ689" s="109"/>
      <c r="AK689" s="109"/>
      <c r="AL689" s="109"/>
      <c r="AM689" s="109"/>
      <c r="AN689" s="109"/>
      <c r="AO689" s="109"/>
      <c r="AP689" s="109"/>
      <c r="AQ689" s="109"/>
      <c r="AR689" s="109"/>
      <c r="AS689" s="109"/>
      <c r="AT689" s="109"/>
      <c r="AU689" s="109"/>
      <c r="AV689" s="109"/>
      <c r="AW689" s="109"/>
      <c r="AX689" s="109"/>
      <c r="AY689" s="109"/>
      <c r="AZ689" s="109"/>
    </row>
    <row r="690" spans="20:52" x14ac:dyDescent="0.45">
      <c r="T690" s="109"/>
      <c r="U690" s="109"/>
      <c r="V690" s="109"/>
      <c r="W690" s="109"/>
      <c r="X690" s="109"/>
      <c r="Y690" s="109"/>
      <c r="Z690" s="109"/>
      <c r="AA690" s="109"/>
      <c r="AB690" s="109"/>
      <c r="AC690" s="109"/>
      <c r="AD690" s="109"/>
      <c r="AE690" s="109"/>
      <c r="AF690" s="109"/>
      <c r="AG690" s="109"/>
      <c r="AH690" s="109"/>
      <c r="AI690" s="109"/>
      <c r="AJ690" s="109"/>
      <c r="AK690" s="109"/>
      <c r="AL690" s="109"/>
      <c r="AM690" s="109"/>
      <c r="AN690" s="109"/>
      <c r="AO690" s="109"/>
      <c r="AP690" s="109"/>
      <c r="AQ690" s="109"/>
      <c r="AR690" s="109"/>
      <c r="AS690" s="109"/>
      <c r="AT690" s="109"/>
      <c r="AU690" s="109"/>
      <c r="AV690" s="109"/>
      <c r="AW690" s="109"/>
      <c r="AX690" s="109"/>
      <c r="AY690" s="109"/>
      <c r="AZ690" s="109"/>
    </row>
    <row r="691" spans="20:52" x14ac:dyDescent="0.45">
      <c r="T691" s="109"/>
      <c r="U691" s="109"/>
      <c r="V691" s="109"/>
      <c r="W691" s="109"/>
      <c r="X691" s="109"/>
      <c r="Y691" s="109"/>
      <c r="Z691" s="109"/>
      <c r="AA691" s="109"/>
      <c r="AB691" s="109"/>
      <c r="AC691" s="109"/>
      <c r="AD691" s="109"/>
      <c r="AE691" s="109"/>
      <c r="AF691" s="109"/>
      <c r="AG691" s="109"/>
      <c r="AH691" s="109"/>
      <c r="AI691" s="109"/>
      <c r="AJ691" s="109"/>
      <c r="AK691" s="109"/>
      <c r="AL691" s="109"/>
      <c r="AM691" s="109"/>
      <c r="AN691" s="109"/>
      <c r="AO691" s="109"/>
      <c r="AP691" s="109"/>
      <c r="AQ691" s="109"/>
      <c r="AR691" s="109"/>
      <c r="AS691" s="109"/>
      <c r="AT691" s="109"/>
      <c r="AU691" s="109"/>
      <c r="AV691" s="109"/>
      <c r="AW691" s="109"/>
      <c r="AX691" s="109"/>
      <c r="AY691" s="109"/>
      <c r="AZ691" s="109"/>
    </row>
    <row r="692" spans="20:52" x14ac:dyDescent="0.45">
      <c r="T692" s="109"/>
      <c r="U692" s="109"/>
      <c r="V692" s="109"/>
      <c r="W692" s="109"/>
      <c r="X692" s="109"/>
      <c r="Y692" s="109"/>
      <c r="Z692" s="109"/>
      <c r="AA692" s="109"/>
      <c r="AB692" s="109"/>
      <c r="AC692" s="109"/>
      <c r="AD692" s="109"/>
      <c r="AE692" s="109"/>
      <c r="AF692" s="109"/>
      <c r="AG692" s="109"/>
      <c r="AH692" s="109"/>
      <c r="AI692" s="109"/>
      <c r="AJ692" s="109"/>
      <c r="AK692" s="109"/>
      <c r="AL692" s="109"/>
      <c r="AM692" s="109"/>
      <c r="AN692" s="109"/>
      <c r="AO692" s="109"/>
      <c r="AP692" s="109"/>
      <c r="AQ692" s="109"/>
      <c r="AR692" s="109"/>
      <c r="AS692" s="109"/>
      <c r="AT692" s="109"/>
      <c r="AU692" s="109"/>
      <c r="AV692" s="109"/>
      <c r="AW692" s="109"/>
      <c r="AX692" s="109"/>
      <c r="AY692" s="109"/>
      <c r="AZ692" s="109"/>
    </row>
    <row r="693" spans="20:52" x14ac:dyDescent="0.45"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  <c r="AH693" s="109"/>
      <c r="AI693" s="109"/>
      <c r="AJ693" s="109"/>
      <c r="AK693" s="109"/>
      <c r="AL693" s="109"/>
      <c r="AM693" s="109"/>
      <c r="AN693" s="109"/>
      <c r="AO693" s="109"/>
      <c r="AP693" s="109"/>
      <c r="AQ693" s="109"/>
      <c r="AR693" s="109"/>
      <c r="AS693" s="109"/>
      <c r="AT693" s="109"/>
      <c r="AU693" s="109"/>
      <c r="AV693" s="109"/>
      <c r="AW693" s="109"/>
      <c r="AX693" s="109"/>
      <c r="AY693" s="109"/>
      <c r="AZ693" s="109"/>
    </row>
    <row r="694" spans="20:52" x14ac:dyDescent="0.45"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  <c r="AD694" s="109"/>
      <c r="AE694" s="109"/>
      <c r="AF694" s="109"/>
      <c r="AG694" s="109"/>
      <c r="AH694" s="109"/>
      <c r="AI694" s="109"/>
      <c r="AJ694" s="109"/>
      <c r="AK694" s="109"/>
      <c r="AL694" s="109"/>
      <c r="AM694" s="109"/>
      <c r="AN694" s="109"/>
      <c r="AO694" s="109"/>
      <c r="AP694" s="109"/>
      <c r="AQ694" s="109"/>
      <c r="AR694" s="109"/>
      <c r="AS694" s="109"/>
      <c r="AT694" s="109"/>
      <c r="AU694" s="109"/>
      <c r="AV694" s="109"/>
      <c r="AW694" s="109"/>
      <c r="AX694" s="109"/>
      <c r="AY694" s="109"/>
      <c r="AZ694" s="109"/>
    </row>
    <row r="695" spans="20:52" x14ac:dyDescent="0.45"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  <c r="AH695" s="109"/>
      <c r="AI695" s="109"/>
      <c r="AJ695" s="109"/>
      <c r="AK695" s="109"/>
      <c r="AL695" s="109"/>
      <c r="AM695" s="109"/>
      <c r="AN695" s="109"/>
      <c r="AO695" s="109"/>
      <c r="AP695" s="109"/>
      <c r="AQ695" s="109"/>
      <c r="AR695" s="109"/>
      <c r="AS695" s="109"/>
      <c r="AT695" s="109"/>
      <c r="AU695" s="109"/>
      <c r="AV695" s="109"/>
      <c r="AW695" s="109"/>
      <c r="AX695" s="109"/>
      <c r="AY695" s="109"/>
      <c r="AZ695" s="109"/>
    </row>
    <row r="696" spans="20:52" x14ac:dyDescent="0.45"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  <c r="AH696" s="109"/>
      <c r="AI696" s="109"/>
      <c r="AJ696" s="109"/>
      <c r="AK696" s="109"/>
      <c r="AL696" s="109"/>
      <c r="AM696" s="109"/>
      <c r="AN696" s="109"/>
      <c r="AO696" s="109"/>
      <c r="AP696" s="109"/>
      <c r="AQ696" s="109"/>
      <c r="AR696" s="109"/>
      <c r="AS696" s="109"/>
      <c r="AT696" s="109"/>
      <c r="AU696" s="109"/>
      <c r="AV696" s="109"/>
      <c r="AW696" s="109"/>
      <c r="AX696" s="109"/>
      <c r="AY696" s="109"/>
      <c r="AZ696" s="109"/>
    </row>
    <row r="697" spans="20:52" x14ac:dyDescent="0.45">
      <c r="T697" s="109"/>
      <c r="U697" s="109"/>
      <c r="V697" s="109"/>
      <c r="W697" s="109"/>
      <c r="X697" s="109"/>
      <c r="Y697" s="109"/>
      <c r="Z697" s="109"/>
      <c r="AA697" s="109"/>
      <c r="AB697" s="109"/>
      <c r="AC697" s="109"/>
      <c r="AD697" s="109"/>
      <c r="AE697" s="109"/>
      <c r="AF697" s="109"/>
      <c r="AG697" s="109"/>
      <c r="AH697" s="109"/>
      <c r="AI697" s="109"/>
      <c r="AJ697" s="109"/>
      <c r="AK697" s="109"/>
      <c r="AL697" s="109"/>
      <c r="AM697" s="109"/>
      <c r="AN697" s="109"/>
      <c r="AO697" s="109"/>
      <c r="AP697" s="109"/>
      <c r="AQ697" s="109"/>
      <c r="AR697" s="109"/>
      <c r="AS697" s="109"/>
      <c r="AT697" s="109"/>
      <c r="AU697" s="109"/>
      <c r="AV697" s="109"/>
      <c r="AW697" s="109"/>
      <c r="AX697" s="109"/>
      <c r="AY697" s="109"/>
      <c r="AZ697" s="109"/>
    </row>
    <row r="698" spans="20:52" x14ac:dyDescent="0.45">
      <c r="T698" s="109"/>
      <c r="U698" s="109"/>
      <c r="V698" s="109"/>
      <c r="W698" s="109"/>
      <c r="X698" s="109"/>
      <c r="Y698" s="109"/>
      <c r="Z698" s="109"/>
      <c r="AA698" s="109"/>
      <c r="AB698" s="109"/>
      <c r="AC698" s="109"/>
      <c r="AD698" s="109"/>
      <c r="AE698" s="109"/>
      <c r="AF698" s="109"/>
      <c r="AG698" s="109"/>
      <c r="AH698" s="109"/>
      <c r="AI698" s="109"/>
      <c r="AJ698" s="109"/>
      <c r="AK698" s="109"/>
      <c r="AL698" s="109"/>
      <c r="AM698" s="109"/>
      <c r="AN698" s="109"/>
      <c r="AO698" s="109"/>
      <c r="AP698" s="109"/>
      <c r="AQ698" s="109"/>
      <c r="AR698" s="109"/>
      <c r="AS698" s="109"/>
      <c r="AT698" s="109"/>
      <c r="AU698" s="109"/>
      <c r="AV698" s="109"/>
      <c r="AW698" s="109"/>
      <c r="AX698" s="109"/>
      <c r="AY698" s="109"/>
      <c r="AZ698" s="109"/>
    </row>
    <row r="699" spans="20:52" x14ac:dyDescent="0.45">
      <c r="T699" s="109"/>
      <c r="U699" s="109"/>
      <c r="V699" s="109"/>
      <c r="W699" s="109"/>
      <c r="X699" s="109"/>
      <c r="Y699" s="109"/>
      <c r="Z699" s="109"/>
      <c r="AA699" s="109"/>
      <c r="AB699" s="109"/>
      <c r="AC699" s="109"/>
      <c r="AD699" s="109"/>
      <c r="AE699" s="109"/>
      <c r="AF699" s="109"/>
      <c r="AG699" s="109"/>
      <c r="AH699" s="109"/>
      <c r="AI699" s="109"/>
      <c r="AJ699" s="109"/>
      <c r="AK699" s="109"/>
      <c r="AL699" s="109"/>
      <c r="AM699" s="109"/>
      <c r="AN699" s="109"/>
      <c r="AO699" s="109"/>
      <c r="AP699" s="109"/>
      <c r="AQ699" s="109"/>
      <c r="AR699" s="109"/>
      <c r="AS699" s="109"/>
      <c r="AT699" s="109"/>
      <c r="AU699" s="109"/>
      <c r="AV699" s="109"/>
      <c r="AW699" s="109"/>
      <c r="AX699" s="109"/>
      <c r="AY699" s="109"/>
      <c r="AZ699" s="109"/>
    </row>
    <row r="700" spans="20:52" x14ac:dyDescent="0.45"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  <c r="AD700" s="109"/>
      <c r="AE700" s="109"/>
      <c r="AF700" s="109"/>
      <c r="AG700" s="109"/>
      <c r="AH700" s="109"/>
      <c r="AI700" s="109"/>
      <c r="AJ700" s="109"/>
      <c r="AK700" s="109"/>
      <c r="AL700" s="109"/>
      <c r="AM700" s="109"/>
      <c r="AN700" s="109"/>
      <c r="AO700" s="109"/>
      <c r="AP700" s="109"/>
      <c r="AQ700" s="109"/>
      <c r="AR700" s="109"/>
      <c r="AS700" s="109"/>
      <c r="AT700" s="109"/>
      <c r="AU700" s="109"/>
      <c r="AV700" s="109"/>
      <c r="AW700" s="109"/>
      <c r="AX700" s="109"/>
      <c r="AY700" s="109"/>
      <c r="AZ700" s="109"/>
    </row>
    <row r="701" spans="20:52" x14ac:dyDescent="0.45">
      <c r="T701" s="109"/>
      <c r="U701" s="109"/>
      <c r="V701" s="109"/>
      <c r="W701" s="109"/>
      <c r="X701" s="109"/>
      <c r="Y701" s="109"/>
      <c r="Z701" s="109"/>
      <c r="AA701" s="109"/>
      <c r="AB701" s="109"/>
      <c r="AC701" s="109"/>
      <c r="AD701" s="109"/>
      <c r="AE701" s="109"/>
      <c r="AF701" s="109"/>
      <c r="AG701" s="109"/>
      <c r="AH701" s="109"/>
      <c r="AI701" s="109"/>
      <c r="AJ701" s="109"/>
      <c r="AK701" s="109"/>
      <c r="AL701" s="109"/>
      <c r="AM701" s="109"/>
      <c r="AN701" s="109"/>
      <c r="AO701" s="109"/>
      <c r="AP701" s="109"/>
      <c r="AQ701" s="109"/>
      <c r="AR701" s="109"/>
      <c r="AS701" s="109"/>
      <c r="AT701" s="109"/>
      <c r="AU701" s="109"/>
      <c r="AV701" s="109"/>
      <c r="AW701" s="109"/>
      <c r="AX701" s="109"/>
      <c r="AY701" s="109"/>
      <c r="AZ701" s="109"/>
    </row>
    <row r="702" spans="20:52" x14ac:dyDescent="0.45">
      <c r="T702" s="109"/>
      <c r="U702" s="109"/>
      <c r="V702" s="109"/>
      <c r="W702" s="109"/>
      <c r="X702" s="109"/>
      <c r="Y702" s="109"/>
      <c r="Z702" s="109"/>
      <c r="AA702" s="109"/>
      <c r="AB702" s="109"/>
      <c r="AC702" s="109"/>
      <c r="AD702" s="109"/>
      <c r="AE702" s="109"/>
      <c r="AF702" s="109"/>
      <c r="AG702" s="109"/>
      <c r="AH702" s="109"/>
      <c r="AI702" s="109"/>
      <c r="AJ702" s="109"/>
      <c r="AK702" s="109"/>
      <c r="AL702" s="109"/>
      <c r="AM702" s="109"/>
      <c r="AN702" s="109"/>
      <c r="AO702" s="109"/>
      <c r="AP702" s="109"/>
      <c r="AQ702" s="109"/>
      <c r="AR702" s="109"/>
      <c r="AS702" s="109"/>
      <c r="AT702" s="109"/>
      <c r="AU702" s="109"/>
      <c r="AV702" s="109"/>
      <c r="AW702" s="109"/>
      <c r="AX702" s="109"/>
      <c r="AY702" s="109"/>
      <c r="AZ702" s="109"/>
    </row>
    <row r="703" spans="20:52" x14ac:dyDescent="0.45">
      <c r="T703" s="109"/>
      <c r="U703" s="109"/>
      <c r="V703" s="109"/>
      <c r="W703" s="109"/>
      <c r="X703" s="109"/>
      <c r="Y703" s="109"/>
      <c r="Z703" s="109"/>
      <c r="AA703" s="109"/>
      <c r="AB703" s="109"/>
      <c r="AC703" s="109"/>
      <c r="AD703" s="109"/>
      <c r="AE703" s="109"/>
      <c r="AF703" s="109"/>
      <c r="AG703" s="109"/>
      <c r="AH703" s="109"/>
      <c r="AI703" s="109"/>
      <c r="AJ703" s="109"/>
      <c r="AK703" s="109"/>
      <c r="AL703" s="109"/>
      <c r="AM703" s="109"/>
      <c r="AN703" s="109"/>
      <c r="AO703" s="109"/>
      <c r="AP703" s="109"/>
      <c r="AQ703" s="109"/>
      <c r="AR703" s="109"/>
      <c r="AS703" s="109"/>
      <c r="AT703" s="109"/>
      <c r="AU703" s="109"/>
      <c r="AV703" s="109"/>
      <c r="AW703" s="109"/>
      <c r="AX703" s="109"/>
      <c r="AY703" s="109"/>
      <c r="AZ703" s="109"/>
    </row>
    <row r="704" spans="20:52" x14ac:dyDescent="0.45">
      <c r="T704" s="109"/>
      <c r="U704" s="109"/>
      <c r="V704" s="109"/>
      <c r="W704" s="109"/>
      <c r="X704" s="109"/>
      <c r="Y704" s="109"/>
      <c r="Z704" s="109"/>
      <c r="AA704" s="109"/>
      <c r="AB704" s="109"/>
      <c r="AC704" s="109"/>
      <c r="AD704" s="109"/>
      <c r="AE704" s="109"/>
      <c r="AF704" s="109"/>
      <c r="AG704" s="109"/>
      <c r="AH704" s="109"/>
      <c r="AI704" s="109"/>
      <c r="AJ704" s="109"/>
      <c r="AK704" s="109"/>
      <c r="AL704" s="109"/>
      <c r="AM704" s="109"/>
      <c r="AN704" s="109"/>
      <c r="AO704" s="109"/>
      <c r="AP704" s="109"/>
      <c r="AQ704" s="109"/>
      <c r="AR704" s="109"/>
      <c r="AS704" s="109"/>
      <c r="AT704" s="109"/>
      <c r="AU704" s="109"/>
      <c r="AV704" s="109"/>
      <c r="AW704" s="109"/>
      <c r="AX704" s="109"/>
      <c r="AY704" s="109"/>
      <c r="AZ704" s="109"/>
    </row>
    <row r="705" spans="20:52" x14ac:dyDescent="0.45">
      <c r="T705" s="109"/>
      <c r="U705" s="109"/>
      <c r="V705" s="109"/>
      <c r="W705" s="109"/>
      <c r="X705" s="109"/>
      <c r="Y705" s="109"/>
      <c r="Z705" s="109"/>
      <c r="AA705" s="109"/>
      <c r="AB705" s="109"/>
      <c r="AC705" s="109"/>
      <c r="AD705" s="109"/>
      <c r="AE705" s="109"/>
      <c r="AF705" s="109"/>
      <c r="AG705" s="109"/>
      <c r="AH705" s="109"/>
      <c r="AI705" s="109"/>
      <c r="AJ705" s="109"/>
      <c r="AK705" s="109"/>
      <c r="AL705" s="109"/>
      <c r="AM705" s="109"/>
      <c r="AN705" s="109"/>
      <c r="AO705" s="109"/>
      <c r="AP705" s="109"/>
      <c r="AQ705" s="109"/>
      <c r="AR705" s="109"/>
      <c r="AS705" s="109"/>
      <c r="AT705" s="109"/>
      <c r="AU705" s="109"/>
      <c r="AV705" s="109"/>
      <c r="AW705" s="109"/>
      <c r="AX705" s="109"/>
      <c r="AY705" s="109"/>
      <c r="AZ705" s="109"/>
    </row>
    <row r="706" spans="20:52" x14ac:dyDescent="0.45">
      <c r="T706" s="109"/>
      <c r="U706" s="109"/>
      <c r="V706" s="109"/>
      <c r="W706" s="109"/>
      <c r="X706" s="109"/>
      <c r="Y706" s="109"/>
      <c r="Z706" s="109"/>
      <c r="AA706" s="109"/>
      <c r="AB706" s="109"/>
      <c r="AC706" s="109"/>
      <c r="AD706" s="109"/>
      <c r="AE706" s="109"/>
      <c r="AF706" s="109"/>
      <c r="AG706" s="109"/>
      <c r="AH706" s="109"/>
      <c r="AI706" s="109"/>
      <c r="AJ706" s="109"/>
      <c r="AK706" s="109"/>
      <c r="AL706" s="109"/>
      <c r="AM706" s="109"/>
      <c r="AN706" s="109"/>
      <c r="AO706" s="109"/>
      <c r="AP706" s="109"/>
      <c r="AQ706" s="109"/>
      <c r="AR706" s="109"/>
      <c r="AS706" s="109"/>
      <c r="AT706" s="109"/>
      <c r="AU706" s="109"/>
      <c r="AV706" s="109"/>
      <c r="AW706" s="109"/>
      <c r="AX706" s="109"/>
      <c r="AY706" s="109"/>
      <c r="AZ706" s="109"/>
    </row>
    <row r="707" spans="20:52" x14ac:dyDescent="0.45"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/>
      <c r="AD707" s="109"/>
      <c r="AE707" s="109"/>
      <c r="AF707" s="109"/>
      <c r="AG707" s="109"/>
      <c r="AH707" s="109"/>
      <c r="AI707" s="109"/>
      <c r="AJ707" s="109"/>
      <c r="AK707" s="109"/>
      <c r="AL707" s="109"/>
      <c r="AM707" s="109"/>
      <c r="AN707" s="109"/>
      <c r="AO707" s="109"/>
      <c r="AP707" s="109"/>
      <c r="AQ707" s="109"/>
      <c r="AR707" s="109"/>
      <c r="AS707" s="109"/>
      <c r="AT707" s="109"/>
      <c r="AU707" s="109"/>
      <c r="AV707" s="109"/>
      <c r="AW707" s="109"/>
      <c r="AX707" s="109"/>
      <c r="AY707" s="109"/>
      <c r="AZ707" s="109"/>
    </row>
    <row r="708" spans="20:52" x14ac:dyDescent="0.45">
      <c r="T708" s="109"/>
      <c r="U708" s="109"/>
      <c r="V708" s="109"/>
      <c r="W708" s="109"/>
      <c r="X708" s="109"/>
      <c r="Y708" s="109"/>
      <c r="Z708" s="109"/>
      <c r="AA708" s="109"/>
      <c r="AB708" s="109"/>
      <c r="AC708" s="109"/>
      <c r="AD708" s="109"/>
      <c r="AE708" s="109"/>
      <c r="AF708" s="109"/>
      <c r="AG708" s="109"/>
      <c r="AH708" s="109"/>
      <c r="AI708" s="109"/>
      <c r="AJ708" s="109"/>
      <c r="AK708" s="109"/>
      <c r="AL708" s="109"/>
      <c r="AM708" s="109"/>
      <c r="AN708" s="109"/>
      <c r="AO708" s="109"/>
      <c r="AP708" s="109"/>
      <c r="AQ708" s="109"/>
      <c r="AR708" s="109"/>
      <c r="AS708" s="109"/>
      <c r="AT708" s="109"/>
      <c r="AU708" s="109"/>
      <c r="AV708" s="109"/>
      <c r="AW708" s="109"/>
      <c r="AX708" s="109"/>
      <c r="AY708" s="109"/>
      <c r="AZ708" s="109"/>
    </row>
    <row r="709" spans="20:52" x14ac:dyDescent="0.45">
      <c r="T709" s="109"/>
      <c r="U709" s="109"/>
      <c r="V709" s="109"/>
      <c r="W709" s="109"/>
      <c r="X709" s="109"/>
      <c r="Y709" s="109"/>
      <c r="Z709" s="109"/>
      <c r="AA709" s="109"/>
      <c r="AB709" s="109"/>
      <c r="AC709" s="109"/>
      <c r="AD709" s="109"/>
      <c r="AE709" s="109"/>
      <c r="AF709" s="109"/>
      <c r="AG709" s="109"/>
      <c r="AH709" s="109"/>
      <c r="AI709" s="109"/>
      <c r="AJ709" s="109"/>
      <c r="AK709" s="109"/>
      <c r="AL709" s="109"/>
      <c r="AM709" s="109"/>
      <c r="AN709" s="109"/>
      <c r="AO709" s="109"/>
      <c r="AP709" s="109"/>
      <c r="AQ709" s="109"/>
      <c r="AR709" s="109"/>
      <c r="AS709" s="109"/>
      <c r="AT709" s="109"/>
      <c r="AU709" s="109"/>
      <c r="AV709" s="109"/>
      <c r="AW709" s="109"/>
      <c r="AX709" s="109"/>
      <c r="AY709" s="109"/>
      <c r="AZ709" s="109"/>
    </row>
    <row r="710" spans="20:52" x14ac:dyDescent="0.45">
      <c r="T710" s="109"/>
      <c r="U710" s="109"/>
      <c r="V710" s="109"/>
      <c r="W710" s="109"/>
      <c r="X710" s="109"/>
      <c r="Y710" s="109"/>
      <c r="Z710" s="109"/>
      <c r="AA710" s="109"/>
      <c r="AB710" s="109"/>
      <c r="AC710" s="109"/>
      <c r="AD710" s="109"/>
      <c r="AE710" s="109"/>
      <c r="AF710" s="109"/>
      <c r="AG710" s="109"/>
      <c r="AH710" s="109"/>
      <c r="AI710" s="109"/>
      <c r="AJ710" s="109"/>
      <c r="AK710" s="109"/>
      <c r="AL710" s="109"/>
      <c r="AM710" s="109"/>
      <c r="AN710" s="109"/>
      <c r="AO710" s="109"/>
      <c r="AP710" s="109"/>
      <c r="AQ710" s="109"/>
      <c r="AR710" s="109"/>
      <c r="AS710" s="109"/>
      <c r="AT710" s="109"/>
      <c r="AU710" s="109"/>
      <c r="AV710" s="109"/>
      <c r="AW710" s="109"/>
      <c r="AX710" s="109"/>
      <c r="AY710" s="109"/>
      <c r="AZ710" s="109"/>
    </row>
    <row r="711" spans="20:52" x14ac:dyDescent="0.45">
      <c r="T711" s="109"/>
      <c r="U711" s="109"/>
      <c r="V711" s="109"/>
      <c r="W711" s="109"/>
      <c r="X711" s="109"/>
      <c r="Y711" s="109"/>
      <c r="Z711" s="109"/>
      <c r="AA711" s="109"/>
      <c r="AB711" s="109"/>
      <c r="AC711" s="109"/>
      <c r="AD711" s="109"/>
      <c r="AE711" s="109"/>
      <c r="AF711" s="109"/>
      <c r="AG711" s="109"/>
      <c r="AH711" s="109"/>
      <c r="AI711" s="109"/>
      <c r="AJ711" s="109"/>
      <c r="AK711" s="109"/>
      <c r="AL711" s="109"/>
      <c r="AM711" s="109"/>
      <c r="AN711" s="109"/>
      <c r="AO711" s="109"/>
      <c r="AP711" s="109"/>
      <c r="AQ711" s="109"/>
      <c r="AR711" s="109"/>
      <c r="AS711" s="109"/>
      <c r="AT711" s="109"/>
      <c r="AU711" s="109"/>
      <c r="AV711" s="109"/>
      <c r="AW711" s="109"/>
      <c r="AX711" s="109"/>
      <c r="AY711" s="109"/>
      <c r="AZ711" s="109"/>
    </row>
    <row r="712" spans="20:52" x14ac:dyDescent="0.45">
      <c r="T712" s="109"/>
      <c r="U712" s="109"/>
      <c r="V712" s="109"/>
      <c r="W712" s="109"/>
      <c r="X712" s="109"/>
      <c r="Y712" s="109"/>
      <c r="Z712" s="109"/>
      <c r="AA712" s="109"/>
      <c r="AB712" s="109"/>
      <c r="AC712" s="109"/>
      <c r="AD712" s="109"/>
      <c r="AE712" s="109"/>
      <c r="AF712" s="109"/>
      <c r="AG712" s="109"/>
      <c r="AH712" s="109"/>
      <c r="AI712" s="109"/>
      <c r="AJ712" s="109"/>
      <c r="AK712" s="109"/>
      <c r="AL712" s="109"/>
      <c r="AM712" s="109"/>
      <c r="AN712" s="109"/>
      <c r="AO712" s="109"/>
      <c r="AP712" s="109"/>
      <c r="AQ712" s="109"/>
      <c r="AR712" s="109"/>
      <c r="AS712" s="109"/>
      <c r="AT712" s="109"/>
      <c r="AU712" s="109"/>
      <c r="AV712" s="109"/>
      <c r="AW712" s="109"/>
      <c r="AX712" s="109"/>
      <c r="AY712" s="109"/>
      <c r="AZ712" s="109"/>
    </row>
    <row r="713" spans="20:52" x14ac:dyDescent="0.45">
      <c r="T713" s="109"/>
      <c r="U713" s="109"/>
      <c r="V713" s="109"/>
      <c r="W713" s="109"/>
      <c r="X713" s="109"/>
      <c r="Y713" s="109"/>
      <c r="Z713" s="109"/>
      <c r="AA713" s="109"/>
      <c r="AB713" s="109"/>
      <c r="AC713" s="109"/>
      <c r="AD713" s="109"/>
      <c r="AE713" s="109"/>
      <c r="AF713" s="109"/>
      <c r="AG713" s="109"/>
      <c r="AH713" s="109"/>
      <c r="AI713" s="109"/>
      <c r="AJ713" s="109"/>
      <c r="AK713" s="109"/>
      <c r="AL713" s="109"/>
      <c r="AM713" s="109"/>
      <c r="AN713" s="109"/>
      <c r="AO713" s="109"/>
      <c r="AP713" s="109"/>
      <c r="AQ713" s="109"/>
      <c r="AR713" s="109"/>
      <c r="AS713" s="109"/>
      <c r="AT713" s="109"/>
      <c r="AU713" s="109"/>
      <c r="AV713" s="109"/>
      <c r="AW713" s="109"/>
      <c r="AX713" s="109"/>
      <c r="AY713" s="109"/>
      <c r="AZ713" s="109"/>
    </row>
    <row r="714" spans="20:52" x14ac:dyDescent="0.45">
      <c r="T714" s="109"/>
      <c r="U714" s="109"/>
      <c r="V714" s="109"/>
      <c r="W714" s="109"/>
      <c r="X714" s="109"/>
      <c r="Y714" s="109"/>
      <c r="Z714" s="109"/>
      <c r="AA714" s="109"/>
      <c r="AB714" s="109"/>
      <c r="AC714" s="109"/>
      <c r="AD714" s="109"/>
      <c r="AE714" s="109"/>
      <c r="AF714" s="109"/>
      <c r="AG714" s="109"/>
      <c r="AH714" s="109"/>
      <c r="AI714" s="109"/>
      <c r="AJ714" s="109"/>
      <c r="AK714" s="109"/>
      <c r="AL714" s="109"/>
      <c r="AM714" s="109"/>
      <c r="AN714" s="109"/>
      <c r="AO714" s="109"/>
      <c r="AP714" s="109"/>
      <c r="AQ714" s="109"/>
      <c r="AR714" s="109"/>
      <c r="AS714" s="109"/>
      <c r="AT714" s="109"/>
      <c r="AU714" s="109"/>
      <c r="AV714" s="109"/>
      <c r="AW714" s="109"/>
      <c r="AX714" s="109"/>
      <c r="AY714" s="109"/>
      <c r="AZ714" s="109"/>
    </row>
    <row r="715" spans="20:52" x14ac:dyDescent="0.45"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  <c r="AT715" s="109"/>
      <c r="AU715" s="109"/>
      <c r="AV715" s="109"/>
      <c r="AW715" s="109"/>
      <c r="AX715" s="109"/>
      <c r="AY715" s="109"/>
      <c r="AZ715" s="109"/>
    </row>
    <row r="716" spans="20:52" x14ac:dyDescent="0.45">
      <c r="T716" s="109"/>
      <c r="U716" s="109"/>
      <c r="V716" s="109"/>
      <c r="W716" s="109"/>
      <c r="X716" s="109"/>
      <c r="Y716" s="109"/>
      <c r="Z716" s="109"/>
      <c r="AA716" s="109"/>
      <c r="AB716" s="109"/>
      <c r="AC716" s="109"/>
      <c r="AD716" s="109"/>
      <c r="AE716" s="109"/>
      <c r="AF716" s="109"/>
      <c r="AG716" s="109"/>
      <c r="AH716" s="109"/>
      <c r="AI716" s="109"/>
      <c r="AJ716" s="109"/>
      <c r="AK716" s="109"/>
      <c r="AL716" s="109"/>
      <c r="AM716" s="109"/>
      <c r="AN716" s="109"/>
      <c r="AO716" s="109"/>
      <c r="AP716" s="109"/>
      <c r="AQ716" s="109"/>
      <c r="AR716" s="109"/>
      <c r="AS716" s="109"/>
      <c r="AT716" s="109"/>
      <c r="AU716" s="109"/>
      <c r="AV716" s="109"/>
      <c r="AW716" s="109"/>
      <c r="AX716" s="109"/>
      <c r="AY716" s="109"/>
      <c r="AZ716" s="109"/>
    </row>
    <row r="717" spans="20:52" x14ac:dyDescent="0.45">
      <c r="T717" s="109"/>
      <c r="U717" s="109"/>
      <c r="V717" s="109"/>
      <c r="W717" s="109"/>
      <c r="X717" s="109"/>
      <c r="Y717" s="109"/>
      <c r="Z717" s="109"/>
      <c r="AA717" s="109"/>
      <c r="AB717" s="109"/>
      <c r="AC717" s="109"/>
      <c r="AD717" s="109"/>
      <c r="AE717" s="109"/>
      <c r="AF717" s="109"/>
      <c r="AG717" s="109"/>
      <c r="AH717" s="109"/>
      <c r="AI717" s="109"/>
      <c r="AJ717" s="109"/>
      <c r="AK717" s="109"/>
      <c r="AL717" s="109"/>
      <c r="AM717" s="109"/>
      <c r="AN717" s="109"/>
      <c r="AO717" s="109"/>
      <c r="AP717" s="109"/>
      <c r="AQ717" s="109"/>
      <c r="AR717" s="109"/>
      <c r="AS717" s="109"/>
      <c r="AT717" s="109"/>
      <c r="AU717" s="109"/>
      <c r="AV717" s="109"/>
      <c r="AW717" s="109"/>
      <c r="AX717" s="109"/>
      <c r="AY717" s="109"/>
      <c r="AZ717" s="109"/>
    </row>
    <row r="718" spans="20:52" x14ac:dyDescent="0.45">
      <c r="T718" s="109"/>
      <c r="U718" s="109"/>
      <c r="V718" s="109"/>
      <c r="W718" s="109"/>
      <c r="X718" s="109"/>
      <c r="Y718" s="109"/>
      <c r="Z718" s="109"/>
      <c r="AA718" s="109"/>
      <c r="AB718" s="109"/>
      <c r="AC718" s="109"/>
      <c r="AD718" s="109"/>
      <c r="AE718" s="109"/>
      <c r="AF718" s="109"/>
      <c r="AG718" s="109"/>
      <c r="AH718" s="109"/>
      <c r="AI718" s="109"/>
      <c r="AJ718" s="109"/>
      <c r="AK718" s="109"/>
      <c r="AL718" s="109"/>
      <c r="AM718" s="109"/>
      <c r="AN718" s="109"/>
      <c r="AO718" s="109"/>
      <c r="AP718" s="109"/>
      <c r="AQ718" s="109"/>
      <c r="AR718" s="109"/>
      <c r="AS718" s="109"/>
      <c r="AT718" s="109"/>
      <c r="AU718" s="109"/>
      <c r="AV718" s="109"/>
      <c r="AW718" s="109"/>
      <c r="AX718" s="109"/>
      <c r="AY718" s="109"/>
      <c r="AZ718" s="109"/>
    </row>
    <row r="719" spans="20:52" x14ac:dyDescent="0.45">
      <c r="T719" s="109"/>
      <c r="U719" s="109"/>
      <c r="V719" s="109"/>
      <c r="W719" s="109"/>
      <c r="X719" s="109"/>
      <c r="Y719" s="109"/>
      <c r="Z719" s="109"/>
      <c r="AA719" s="109"/>
      <c r="AB719" s="109"/>
      <c r="AC719" s="109"/>
      <c r="AD719" s="109"/>
      <c r="AE719" s="109"/>
      <c r="AF719" s="109"/>
      <c r="AG719" s="109"/>
      <c r="AH719" s="109"/>
      <c r="AI719" s="109"/>
      <c r="AJ719" s="109"/>
      <c r="AK719" s="109"/>
      <c r="AL719" s="109"/>
      <c r="AM719" s="109"/>
      <c r="AN719" s="109"/>
      <c r="AO719" s="109"/>
      <c r="AP719" s="109"/>
      <c r="AQ719" s="109"/>
      <c r="AR719" s="109"/>
      <c r="AS719" s="109"/>
      <c r="AT719" s="109"/>
      <c r="AU719" s="109"/>
      <c r="AV719" s="109"/>
      <c r="AW719" s="109"/>
      <c r="AX719" s="109"/>
      <c r="AY719" s="109"/>
      <c r="AZ719" s="109"/>
    </row>
    <row r="720" spans="20:52" x14ac:dyDescent="0.45">
      <c r="T720" s="109"/>
      <c r="U720" s="109"/>
      <c r="V720" s="109"/>
      <c r="W720" s="109"/>
      <c r="X720" s="109"/>
      <c r="Y720" s="109"/>
      <c r="Z720" s="109"/>
      <c r="AA720" s="109"/>
      <c r="AB720" s="109"/>
      <c r="AC720" s="109"/>
      <c r="AD720" s="109"/>
      <c r="AE720" s="109"/>
      <c r="AF720" s="109"/>
      <c r="AG720" s="109"/>
      <c r="AH720" s="109"/>
      <c r="AI720" s="109"/>
      <c r="AJ720" s="109"/>
      <c r="AK720" s="109"/>
      <c r="AL720" s="109"/>
      <c r="AM720" s="109"/>
      <c r="AN720" s="109"/>
      <c r="AO720" s="109"/>
      <c r="AP720" s="109"/>
      <c r="AQ720" s="109"/>
      <c r="AR720" s="109"/>
      <c r="AS720" s="109"/>
      <c r="AT720" s="109"/>
      <c r="AU720" s="109"/>
      <c r="AV720" s="109"/>
      <c r="AW720" s="109"/>
      <c r="AX720" s="109"/>
      <c r="AY720" s="109"/>
      <c r="AZ720" s="109"/>
    </row>
    <row r="721" spans="20:52" x14ac:dyDescent="0.45">
      <c r="T721" s="109"/>
      <c r="U721" s="109"/>
      <c r="V721" s="109"/>
      <c r="W721" s="109"/>
      <c r="X721" s="109"/>
      <c r="Y721" s="109"/>
      <c r="Z721" s="109"/>
      <c r="AA721" s="109"/>
      <c r="AB721" s="109"/>
      <c r="AC721" s="109"/>
      <c r="AD721" s="109"/>
      <c r="AE721" s="109"/>
      <c r="AF721" s="109"/>
      <c r="AG721" s="109"/>
      <c r="AH721" s="109"/>
      <c r="AI721" s="109"/>
      <c r="AJ721" s="109"/>
      <c r="AK721" s="109"/>
      <c r="AL721" s="109"/>
      <c r="AM721" s="109"/>
      <c r="AN721" s="109"/>
      <c r="AO721" s="109"/>
      <c r="AP721" s="109"/>
      <c r="AQ721" s="109"/>
      <c r="AR721" s="109"/>
      <c r="AS721" s="109"/>
      <c r="AT721" s="109"/>
      <c r="AU721" s="109"/>
      <c r="AV721" s="109"/>
      <c r="AW721" s="109"/>
      <c r="AX721" s="109"/>
      <c r="AY721" s="109"/>
      <c r="AZ721" s="109"/>
    </row>
    <row r="722" spans="20:52" x14ac:dyDescent="0.45">
      <c r="T722" s="109"/>
      <c r="U722" s="109"/>
      <c r="V722" s="109"/>
      <c r="W722" s="109"/>
      <c r="X722" s="109"/>
      <c r="Y722" s="109"/>
      <c r="Z722" s="109"/>
      <c r="AA722" s="109"/>
      <c r="AB722" s="109"/>
      <c r="AC722" s="109"/>
      <c r="AD722" s="109"/>
      <c r="AE722" s="109"/>
      <c r="AF722" s="109"/>
      <c r="AG722" s="109"/>
      <c r="AH722" s="109"/>
      <c r="AI722" s="109"/>
      <c r="AJ722" s="109"/>
      <c r="AK722" s="109"/>
      <c r="AL722" s="109"/>
      <c r="AM722" s="109"/>
      <c r="AN722" s="109"/>
      <c r="AO722" s="109"/>
      <c r="AP722" s="109"/>
      <c r="AQ722" s="109"/>
      <c r="AR722" s="109"/>
      <c r="AS722" s="109"/>
      <c r="AT722" s="109"/>
      <c r="AU722" s="109"/>
      <c r="AV722" s="109"/>
      <c r="AW722" s="109"/>
      <c r="AX722" s="109"/>
      <c r="AY722" s="109"/>
      <c r="AZ722" s="109"/>
    </row>
    <row r="723" spans="20:52" x14ac:dyDescent="0.45"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09"/>
      <c r="AG723" s="109"/>
      <c r="AH723" s="109"/>
      <c r="AI723" s="109"/>
      <c r="AJ723" s="109"/>
      <c r="AK723" s="109"/>
      <c r="AL723" s="109"/>
      <c r="AM723" s="109"/>
      <c r="AN723" s="109"/>
      <c r="AO723" s="109"/>
      <c r="AP723" s="109"/>
      <c r="AQ723" s="109"/>
      <c r="AR723" s="109"/>
      <c r="AS723" s="109"/>
      <c r="AT723" s="109"/>
      <c r="AU723" s="109"/>
      <c r="AV723" s="109"/>
      <c r="AW723" s="109"/>
      <c r="AX723" s="109"/>
      <c r="AY723" s="109"/>
      <c r="AZ723" s="109"/>
    </row>
    <row r="724" spans="20:52" x14ac:dyDescent="0.45"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09"/>
      <c r="AG724" s="109"/>
      <c r="AH724" s="109"/>
      <c r="AI724" s="109"/>
      <c r="AJ724" s="109"/>
      <c r="AK724" s="109"/>
      <c r="AL724" s="109"/>
      <c r="AM724" s="109"/>
      <c r="AN724" s="109"/>
      <c r="AO724" s="109"/>
      <c r="AP724" s="109"/>
      <c r="AQ724" s="109"/>
      <c r="AR724" s="109"/>
      <c r="AS724" s="109"/>
      <c r="AT724" s="109"/>
      <c r="AU724" s="109"/>
      <c r="AV724" s="109"/>
      <c r="AW724" s="109"/>
      <c r="AX724" s="109"/>
      <c r="AY724" s="109"/>
      <c r="AZ724" s="109"/>
    </row>
    <row r="725" spans="20:52" x14ac:dyDescent="0.45">
      <c r="T725" s="109"/>
      <c r="U725" s="109"/>
      <c r="V725" s="109"/>
      <c r="W725" s="109"/>
      <c r="X725" s="109"/>
      <c r="Y725" s="109"/>
      <c r="Z725" s="109"/>
      <c r="AA725" s="109"/>
      <c r="AB725" s="109"/>
      <c r="AC725" s="109"/>
      <c r="AD725" s="109"/>
      <c r="AE725" s="109"/>
      <c r="AF725" s="109"/>
      <c r="AG725" s="109"/>
      <c r="AH725" s="109"/>
      <c r="AI725" s="109"/>
      <c r="AJ725" s="109"/>
      <c r="AK725" s="109"/>
      <c r="AL725" s="109"/>
      <c r="AM725" s="109"/>
      <c r="AN725" s="109"/>
      <c r="AO725" s="109"/>
      <c r="AP725" s="109"/>
      <c r="AQ725" s="109"/>
      <c r="AR725" s="109"/>
      <c r="AS725" s="109"/>
      <c r="AT725" s="109"/>
      <c r="AU725" s="109"/>
      <c r="AV725" s="109"/>
      <c r="AW725" s="109"/>
      <c r="AX725" s="109"/>
      <c r="AY725" s="109"/>
      <c r="AZ725" s="109"/>
    </row>
    <row r="726" spans="20:52" x14ac:dyDescent="0.45">
      <c r="T726" s="109"/>
      <c r="U726" s="109"/>
      <c r="V726" s="109"/>
      <c r="W726" s="109"/>
      <c r="X726" s="109"/>
      <c r="Y726" s="109"/>
      <c r="Z726" s="109"/>
      <c r="AA726" s="109"/>
      <c r="AB726" s="109"/>
      <c r="AC726" s="109"/>
      <c r="AD726" s="109"/>
      <c r="AE726" s="109"/>
      <c r="AF726" s="109"/>
      <c r="AG726" s="109"/>
      <c r="AH726" s="109"/>
      <c r="AI726" s="109"/>
      <c r="AJ726" s="109"/>
      <c r="AK726" s="109"/>
      <c r="AL726" s="109"/>
      <c r="AM726" s="109"/>
      <c r="AN726" s="109"/>
      <c r="AO726" s="109"/>
      <c r="AP726" s="109"/>
      <c r="AQ726" s="109"/>
      <c r="AR726" s="109"/>
      <c r="AS726" s="109"/>
      <c r="AT726" s="109"/>
      <c r="AU726" s="109"/>
      <c r="AV726" s="109"/>
      <c r="AW726" s="109"/>
      <c r="AX726" s="109"/>
      <c r="AY726" s="109"/>
      <c r="AZ726" s="109"/>
    </row>
    <row r="727" spans="20:52" x14ac:dyDescent="0.45">
      <c r="T727" s="109"/>
      <c r="U727" s="109"/>
      <c r="V727" s="109"/>
      <c r="W727" s="109"/>
      <c r="X727" s="109"/>
      <c r="Y727" s="109"/>
      <c r="Z727" s="109"/>
      <c r="AA727" s="109"/>
      <c r="AB727" s="109"/>
      <c r="AC727" s="109"/>
      <c r="AD727" s="109"/>
      <c r="AE727" s="109"/>
      <c r="AF727" s="109"/>
      <c r="AG727" s="109"/>
      <c r="AH727" s="109"/>
      <c r="AI727" s="109"/>
      <c r="AJ727" s="109"/>
      <c r="AK727" s="109"/>
      <c r="AL727" s="109"/>
      <c r="AM727" s="109"/>
      <c r="AN727" s="109"/>
      <c r="AO727" s="109"/>
      <c r="AP727" s="109"/>
      <c r="AQ727" s="109"/>
      <c r="AR727" s="109"/>
      <c r="AS727" s="109"/>
      <c r="AT727" s="109"/>
      <c r="AU727" s="109"/>
      <c r="AV727" s="109"/>
      <c r="AW727" s="109"/>
      <c r="AX727" s="109"/>
      <c r="AY727" s="109"/>
      <c r="AZ727" s="109"/>
    </row>
    <row r="728" spans="20:52" x14ac:dyDescent="0.45">
      <c r="T728" s="109"/>
      <c r="U728" s="109"/>
      <c r="V728" s="109"/>
      <c r="W728" s="109"/>
      <c r="X728" s="109"/>
      <c r="Y728" s="109"/>
      <c r="Z728" s="109"/>
      <c r="AA728" s="109"/>
      <c r="AB728" s="109"/>
      <c r="AC728" s="109"/>
      <c r="AD728" s="109"/>
      <c r="AE728" s="109"/>
      <c r="AF728" s="109"/>
      <c r="AG728" s="109"/>
      <c r="AH728" s="109"/>
      <c r="AI728" s="109"/>
      <c r="AJ728" s="109"/>
      <c r="AK728" s="109"/>
      <c r="AL728" s="109"/>
      <c r="AM728" s="109"/>
      <c r="AN728" s="109"/>
      <c r="AO728" s="109"/>
      <c r="AP728" s="109"/>
      <c r="AQ728" s="109"/>
      <c r="AR728" s="109"/>
      <c r="AS728" s="109"/>
      <c r="AT728" s="109"/>
      <c r="AU728" s="109"/>
      <c r="AV728" s="109"/>
      <c r="AW728" s="109"/>
      <c r="AX728" s="109"/>
      <c r="AY728" s="109"/>
      <c r="AZ728" s="109"/>
    </row>
    <row r="729" spans="20:52" x14ac:dyDescent="0.45">
      <c r="T729" s="109"/>
      <c r="U729" s="109"/>
      <c r="V729" s="109"/>
      <c r="W729" s="109"/>
      <c r="X729" s="109"/>
      <c r="Y729" s="109"/>
      <c r="Z729" s="109"/>
      <c r="AA729" s="109"/>
      <c r="AB729" s="109"/>
      <c r="AC729" s="109"/>
      <c r="AD729" s="109"/>
      <c r="AE729" s="109"/>
      <c r="AF729" s="109"/>
      <c r="AG729" s="109"/>
      <c r="AH729" s="109"/>
      <c r="AI729" s="109"/>
      <c r="AJ729" s="109"/>
      <c r="AK729" s="109"/>
      <c r="AL729" s="109"/>
      <c r="AM729" s="109"/>
      <c r="AN729" s="109"/>
      <c r="AO729" s="109"/>
      <c r="AP729" s="109"/>
      <c r="AQ729" s="109"/>
      <c r="AR729" s="109"/>
      <c r="AS729" s="109"/>
      <c r="AT729" s="109"/>
      <c r="AU729" s="109"/>
      <c r="AV729" s="109"/>
      <c r="AW729" s="109"/>
      <c r="AX729" s="109"/>
      <c r="AY729" s="109"/>
      <c r="AZ729" s="109"/>
    </row>
    <row r="730" spans="20:52" x14ac:dyDescent="0.45">
      <c r="T730" s="109"/>
      <c r="U730" s="109"/>
      <c r="V730" s="109"/>
      <c r="W730" s="109"/>
      <c r="X730" s="109"/>
      <c r="Y730" s="109"/>
      <c r="Z730" s="109"/>
      <c r="AA730" s="109"/>
      <c r="AB730" s="109"/>
      <c r="AC730" s="109"/>
      <c r="AD730" s="109"/>
      <c r="AE730" s="109"/>
      <c r="AF730" s="109"/>
      <c r="AG730" s="109"/>
      <c r="AH730" s="109"/>
      <c r="AI730" s="109"/>
      <c r="AJ730" s="109"/>
      <c r="AK730" s="109"/>
      <c r="AL730" s="109"/>
      <c r="AM730" s="109"/>
      <c r="AN730" s="109"/>
      <c r="AO730" s="109"/>
      <c r="AP730" s="109"/>
      <c r="AQ730" s="109"/>
      <c r="AR730" s="109"/>
      <c r="AS730" s="109"/>
      <c r="AT730" s="109"/>
      <c r="AU730" s="109"/>
      <c r="AV730" s="109"/>
      <c r="AW730" s="109"/>
      <c r="AX730" s="109"/>
      <c r="AY730" s="109"/>
      <c r="AZ730" s="109"/>
    </row>
    <row r="731" spans="20:52" x14ac:dyDescent="0.45">
      <c r="T731" s="109"/>
      <c r="U731" s="109"/>
      <c r="V731" s="109"/>
      <c r="W731" s="109"/>
      <c r="X731" s="109"/>
      <c r="Y731" s="109"/>
      <c r="Z731" s="109"/>
      <c r="AA731" s="109"/>
      <c r="AB731" s="109"/>
      <c r="AC731" s="109"/>
      <c r="AD731" s="109"/>
      <c r="AE731" s="109"/>
      <c r="AF731" s="109"/>
      <c r="AG731" s="109"/>
      <c r="AH731" s="109"/>
      <c r="AI731" s="109"/>
      <c r="AJ731" s="109"/>
      <c r="AK731" s="109"/>
      <c r="AL731" s="109"/>
      <c r="AM731" s="109"/>
      <c r="AN731" s="109"/>
      <c r="AO731" s="109"/>
      <c r="AP731" s="109"/>
      <c r="AQ731" s="109"/>
      <c r="AR731" s="109"/>
      <c r="AS731" s="109"/>
      <c r="AT731" s="109"/>
      <c r="AU731" s="109"/>
      <c r="AV731" s="109"/>
      <c r="AW731" s="109"/>
      <c r="AX731" s="109"/>
      <c r="AY731" s="109"/>
      <c r="AZ731" s="109"/>
    </row>
    <row r="732" spans="20:52" x14ac:dyDescent="0.45">
      <c r="T732" s="109"/>
      <c r="U732" s="109"/>
      <c r="V732" s="109"/>
      <c r="W732" s="109"/>
      <c r="X732" s="109"/>
      <c r="Y732" s="109"/>
      <c r="Z732" s="109"/>
      <c r="AA732" s="109"/>
      <c r="AB732" s="109"/>
      <c r="AC732" s="109"/>
      <c r="AD732" s="109"/>
      <c r="AE732" s="109"/>
      <c r="AF732" s="109"/>
      <c r="AG732" s="109"/>
      <c r="AH732" s="109"/>
      <c r="AI732" s="109"/>
      <c r="AJ732" s="109"/>
      <c r="AK732" s="109"/>
      <c r="AL732" s="109"/>
      <c r="AM732" s="109"/>
      <c r="AN732" s="109"/>
      <c r="AO732" s="109"/>
      <c r="AP732" s="109"/>
      <c r="AQ732" s="109"/>
      <c r="AR732" s="109"/>
      <c r="AS732" s="109"/>
      <c r="AT732" s="109"/>
      <c r="AU732" s="109"/>
      <c r="AV732" s="109"/>
      <c r="AW732" s="109"/>
      <c r="AX732" s="109"/>
      <c r="AY732" s="109"/>
      <c r="AZ732" s="109"/>
    </row>
    <row r="733" spans="20:52" x14ac:dyDescent="0.45">
      <c r="T733" s="109"/>
      <c r="U733" s="109"/>
      <c r="V733" s="109"/>
      <c r="W733" s="109"/>
      <c r="X733" s="109"/>
      <c r="Y733" s="109"/>
      <c r="Z733" s="109"/>
      <c r="AA733" s="109"/>
      <c r="AB733" s="109"/>
      <c r="AC733" s="109"/>
      <c r="AD733" s="109"/>
      <c r="AE733" s="109"/>
      <c r="AF733" s="109"/>
      <c r="AG733" s="109"/>
      <c r="AH733" s="109"/>
      <c r="AI733" s="109"/>
      <c r="AJ733" s="109"/>
      <c r="AK733" s="109"/>
      <c r="AL733" s="109"/>
      <c r="AM733" s="109"/>
      <c r="AN733" s="109"/>
      <c r="AO733" s="109"/>
      <c r="AP733" s="109"/>
      <c r="AQ733" s="109"/>
      <c r="AR733" s="109"/>
      <c r="AS733" s="109"/>
      <c r="AT733" s="109"/>
      <c r="AU733" s="109"/>
      <c r="AV733" s="109"/>
      <c r="AW733" s="109"/>
      <c r="AX733" s="109"/>
      <c r="AY733" s="109"/>
      <c r="AZ733" s="109"/>
    </row>
    <row r="734" spans="20:52" x14ac:dyDescent="0.45">
      <c r="T734" s="109"/>
      <c r="U734" s="109"/>
      <c r="V734" s="109"/>
      <c r="W734" s="109"/>
      <c r="X734" s="109"/>
      <c r="Y734" s="109"/>
      <c r="Z734" s="109"/>
      <c r="AA734" s="109"/>
      <c r="AB734" s="109"/>
      <c r="AC734" s="109"/>
      <c r="AD734" s="109"/>
      <c r="AE734" s="109"/>
      <c r="AF734" s="109"/>
      <c r="AG734" s="109"/>
      <c r="AH734" s="109"/>
      <c r="AI734" s="109"/>
      <c r="AJ734" s="109"/>
      <c r="AK734" s="109"/>
      <c r="AL734" s="109"/>
      <c r="AM734" s="109"/>
      <c r="AN734" s="109"/>
      <c r="AO734" s="109"/>
      <c r="AP734" s="109"/>
      <c r="AQ734" s="109"/>
      <c r="AR734" s="109"/>
      <c r="AS734" s="109"/>
      <c r="AT734" s="109"/>
      <c r="AU734" s="109"/>
      <c r="AV734" s="109"/>
      <c r="AW734" s="109"/>
      <c r="AX734" s="109"/>
      <c r="AY734" s="109"/>
      <c r="AZ734" s="109"/>
    </row>
    <row r="735" spans="20:52" x14ac:dyDescent="0.45">
      <c r="T735" s="109"/>
      <c r="U735" s="109"/>
      <c r="V735" s="109"/>
      <c r="W735" s="109"/>
      <c r="X735" s="109"/>
      <c r="Y735" s="109"/>
      <c r="Z735" s="109"/>
      <c r="AA735" s="109"/>
      <c r="AB735" s="109"/>
      <c r="AC735" s="109"/>
      <c r="AD735" s="109"/>
      <c r="AE735" s="109"/>
      <c r="AF735" s="109"/>
      <c r="AG735" s="109"/>
      <c r="AH735" s="109"/>
      <c r="AI735" s="109"/>
      <c r="AJ735" s="109"/>
      <c r="AK735" s="109"/>
      <c r="AL735" s="109"/>
      <c r="AM735" s="109"/>
      <c r="AN735" s="109"/>
      <c r="AO735" s="109"/>
      <c r="AP735" s="109"/>
      <c r="AQ735" s="109"/>
      <c r="AR735" s="109"/>
      <c r="AS735" s="109"/>
      <c r="AT735" s="109"/>
      <c r="AU735" s="109"/>
      <c r="AV735" s="109"/>
      <c r="AW735" s="109"/>
      <c r="AX735" s="109"/>
      <c r="AY735" s="109"/>
      <c r="AZ735" s="109"/>
    </row>
    <row r="736" spans="20:52" x14ac:dyDescent="0.45">
      <c r="T736" s="109"/>
      <c r="U736" s="109"/>
      <c r="V736" s="109"/>
      <c r="W736" s="109"/>
      <c r="X736" s="109"/>
      <c r="Y736" s="109"/>
      <c r="Z736" s="109"/>
      <c r="AA736" s="109"/>
      <c r="AB736" s="109"/>
      <c r="AC736" s="109"/>
      <c r="AD736" s="109"/>
      <c r="AE736" s="109"/>
      <c r="AF736" s="109"/>
      <c r="AG736" s="109"/>
      <c r="AH736" s="109"/>
      <c r="AI736" s="109"/>
      <c r="AJ736" s="109"/>
      <c r="AK736" s="109"/>
      <c r="AL736" s="109"/>
      <c r="AM736" s="109"/>
      <c r="AN736" s="109"/>
      <c r="AO736" s="109"/>
      <c r="AP736" s="109"/>
      <c r="AQ736" s="109"/>
      <c r="AR736" s="109"/>
      <c r="AS736" s="109"/>
      <c r="AT736" s="109"/>
      <c r="AU736" s="109"/>
      <c r="AV736" s="109"/>
      <c r="AW736" s="109"/>
      <c r="AX736" s="109"/>
      <c r="AY736" s="109"/>
      <c r="AZ736" s="109"/>
    </row>
    <row r="737" spans="20:52" x14ac:dyDescent="0.45">
      <c r="T737" s="109"/>
      <c r="U737" s="109"/>
      <c r="V737" s="109"/>
      <c r="W737" s="109"/>
      <c r="X737" s="109"/>
      <c r="Y737" s="109"/>
      <c r="Z737" s="109"/>
      <c r="AA737" s="109"/>
      <c r="AB737" s="109"/>
      <c r="AC737" s="109"/>
      <c r="AD737" s="109"/>
      <c r="AE737" s="109"/>
      <c r="AF737" s="109"/>
      <c r="AG737" s="109"/>
      <c r="AH737" s="109"/>
      <c r="AI737" s="109"/>
      <c r="AJ737" s="109"/>
      <c r="AK737" s="109"/>
      <c r="AL737" s="109"/>
      <c r="AM737" s="109"/>
      <c r="AN737" s="109"/>
      <c r="AO737" s="109"/>
      <c r="AP737" s="109"/>
      <c r="AQ737" s="109"/>
      <c r="AR737" s="109"/>
      <c r="AS737" s="109"/>
      <c r="AT737" s="109"/>
      <c r="AU737" s="109"/>
      <c r="AV737" s="109"/>
      <c r="AW737" s="109"/>
      <c r="AX737" s="109"/>
      <c r="AY737" s="109"/>
      <c r="AZ737" s="109"/>
    </row>
    <row r="738" spans="20:52" x14ac:dyDescent="0.45">
      <c r="T738" s="109"/>
      <c r="U738" s="109"/>
      <c r="V738" s="109"/>
      <c r="W738" s="109"/>
      <c r="X738" s="109"/>
      <c r="Y738" s="109"/>
      <c r="Z738" s="109"/>
      <c r="AA738" s="109"/>
      <c r="AB738" s="109"/>
      <c r="AC738" s="109"/>
      <c r="AD738" s="109"/>
      <c r="AE738" s="109"/>
      <c r="AF738" s="109"/>
      <c r="AG738" s="109"/>
      <c r="AH738" s="109"/>
      <c r="AI738" s="109"/>
      <c r="AJ738" s="109"/>
      <c r="AK738" s="109"/>
      <c r="AL738" s="109"/>
      <c r="AM738" s="109"/>
      <c r="AN738" s="109"/>
      <c r="AO738" s="109"/>
      <c r="AP738" s="109"/>
      <c r="AQ738" s="109"/>
      <c r="AR738" s="109"/>
      <c r="AS738" s="109"/>
      <c r="AT738" s="109"/>
      <c r="AU738" s="109"/>
      <c r="AV738" s="109"/>
      <c r="AW738" s="109"/>
      <c r="AX738" s="109"/>
      <c r="AY738" s="109"/>
      <c r="AZ738" s="109"/>
    </row>
    <row r="739" spans="20:52" x14ac:dyDescent="0.45">
      <c r="T739" s="109"/>
      <c r="U739" s="109"/>
      <c r="V739" s="109"/>
      <c r="W739" s="109"/>
      <c r="X739" s="109"/>
      <c r="Y739" s="109"/>
      <c r="Z739" s="109"/>
      <c r="AA739" s="109"/>
      <c r="AB739" s="109"/>
      <c r="AC739" s="109"/>
      <c r="AD739" s="109"/>
      <c r="AE739" s="109"/>
      <c r="AF739" s="109"/>
      <c r="AG739" s="109"/>
      <c r="AH739" s="109"/>
      <c r="AI739" s="109"/>
      <c r="AJ739" s="109"/>
      <c r="AK739" s="109"/>
      <c r="AL739" s="109"/>
      <c r="AM739" s="109"/>
      <c r="AN739" s="109"/>
      <c r="AO739" s="109"/>
      <c r="AP739" s="109"/>
      <c r="AQ739" s="109"/>
      <c r="AR739" s="109"/>
      <c r="AS739" s="109"/>
      <c r="AT739" s="109"/>
      <c r="AU739" s="109"/>
      <c r="AV739" s="109"/>
      <c r="AW739" s="109"/>
      <c r="AX739" s="109"/>
      <c r="AY739" s="109"/>
      <c r="AZ739" s="109"/>
    </row>
    <row r="740" spans="20:52" x14ac:dyDescent="0.45">
      <c r="T740" s="109"/>
      <c r="U740" s="109"/>
      <c r="V740" s="109"/>
      <c r="W740" s="109"/>
      <c r="X740" s="109"/>
      <c r="Y740" s="109"/>
      <c r="Z740" s="109"/>
      <c r="AA740" s="109"/>
      <c r="AB740" s="109"/>
      <c r="AC740" s="109"/>
      <c r="AD740" s="109"/>
      <c r="AE740" s="109"/>
      <c r="AF740" s="109"/>
      <c r="AG740" s="109"/>
      <c r="AH740" s="109"/>
      <c r="AI740" s="109"/>
      <c r="AJ740" s="109"/>
      <c r="AK740" s="109"/>
      <c r="AL740" s="109"/>
      <c r="AM740" s="109"/>
      <c r="AN740" s="109"/>
      <c r="AO740" s="109"/>
      <c r="AP740" s="109"/>
      <c r="AQ740" s="109"/>
      <c r="AR740" s="109"/>
      <c r="AS740" s="109"/>
      <c r="AT740" s="109"/>
      <c r="AU740" s="109"/>
      <c r="AV740" s="109"/>
      <c r="AW740" s="109"/>
      <c r="AX740" s="109"/>
      <c r="AY740" s="109"/>
      <c r="AZ740" s="109"/>
    </row>
    <row r="741" spans="20:52" x14ac:dyDescent="0.45">
      <c r="T741" s="109"/>
      <c r="U741" s="109"/>
      <c r="V741" s="109"/>
      <c r="W741" s="109"/>
      <c r="X741" s="109"/>
      <c r="Y741" s="109"/>
      <c r="Z741" s="109"/>
      <c r="AA741" s="109"/>
      <c r="AB741" s="109"/>
      <c r="AC741" s="109"/>
      <c r="AD741" s="109"/>
      <c r="AE741" s="109"/>
      <c r="AF741" s="109"/>
      <c r="AG741" s="109"/>
      <c r="AH741" s="109"/>
      <c r="AI741" s="109"/>
      <c r="AJ741" s="109"/>
      <c r="AK741" s="109"/>
      <c r="AL741" s="109"/>
      <c r="AM741" s="109"/>
      <c r="AN741" s="109"/>
      <c r="AO741" s="109"/>
      <c r="AP741" s="109"/>
      <c r="AQ741" s="109"/>
      <c r="AR741" s="109"/>
      <c r="AS741" s="109"/>
      <c r="AT741" s="109"/>
      <c r="AU741" s="109"/>
      <c r="AV741" s="109"/>
      <c r="AW741" s="109"/>
      <c r="AX741" s="109"/>
      <c r="AY741" s="109"/>
      <c r="AZ741" s="109"/>
    </row>
    <row r="742" spans="20:52" x14ac:dyDescent="0.45">
      <c r="T742" s="109"/>
      <c r="U742" s="109"/>
      <c r="V742" s="109"/>
      <c r="W742" s="109"/>
      <c r="X742" s="109"/>
      <c r="Y742" s="109"/>
      <c r="Z742" s="109"/>
      <c r="AA742" s="109"/>
      <c r="AB742" s="109"/>
      <c r="AC742" s="109"/>
      <c r="AD742" s="109"/>
      <c r="AE742" s="109"/>
      <c r="AF742" s="109"/>
      <c r="AG742" s="109"/>
      <c r="AH742" s="109"/>
      <c r="AI742" s="109"/>
      <c r="AJ742" s="109"/>
      <c r="AK742" s="109"/>
      <c r="AL742" s="109"/>
      <c r="AM742" s="109"/>
      <c r="AN742" s="109"/>
      <c r="AO742" s="109"/>
      <c r="AP742" s="109"/>
      <c r="AQ742" s="109"/>
      <c r="AR742" s="109"/>
      <c r="AS742" s="109"/>
      <c r="AT742" s="109"/>
      <c r="AU742" s="109"/>
      <c r="AV742" s="109"/>
      <c r="AW742" s="109"/>
      <c r="AX742" s="109"/>
      <c r="AY742" s="109"/>
      <c r="AZ742" s="109"/>
    </row>
    <row r="743" spans="20:52" x14ac:dyDescent="0.45">
      <c r="T743" s="109"/>
      <c r="U743" s="109"/>
      <c r="V743" s="109"/>
      <c r="W743" s="109"/>
      <c r="X743" s="109"/>
      <c r="Y743" s="109"/>
      <c r="Z743" s="109"/>
      <c r="AA743" s="109"/>
      <c r="AB743" s="109"/>
      <c r="AC743" s="109"/>
      <c r="AD743" s="109"/>
      <c r="AE743" s="109"/>
      <c r="AF743" s="109"/>
      <c r="AG743" s="109"/>
      <c r="AH743" s="109"/>
      <c r="AI743" s="109"/>
      <c r="AJ743" s="109"/>
      <c r="AK743" s="109"/>
      <c r="AL743" s="109"/>
      <c r="AM743" s="109"/>
      <c r="AN743" s="109"/>
      <c r="AO743" s="109"/>
      <c r="AP743" s="109"/>
      <c r="AQ743" s="109"/>
      <c r="AR743" s="109"/>
      <c r="AS743" s="109"/>
      <c r="AT743" s="109"/>
      <c r="AU743" s="109"/>
      <c r="AV743" s="109"/>
      <c r="AW743" s="109"/>
      <c r="AX743" s="109"/>
      <c r="AY743" s="109"/>
      <c r="AZ743" s="109"/>
    </row>
    <row r="744" spans="20:52" x14ac:dyDescent="0.45">
      <c r="T744" s="109"/>
      <c r="U744" s="109"/>
      <c r="V744" s="109"/>
      <c r="W744" s="109"/>
      <c r="X744" s="109"/>
      <c r="Y744" s="109"/>
      <c r="Z744" s="109"/>
      <c r="AA744" s="109"/>
      <c r="AB744" s="109"/>
      <c r="AC744" s="109"/>
      <c r="AD744" s="109"/>
      <c r="AE744" s="109"/>
      <c r="AF744" s="109"/>
      <c r="AG744" s="109"/>
      <c r="AH744" s="109"/>
      <c r="AI744" s="109"/>
      <c r="AJ744" s="109"/>
      <c r="AK744" s="109"/>
      <c r="AL744" s="109"/>
      <c r="AM744" s="109"/>
      <c r="AN744" s="109"/>
      <c r="AO744" s="109"/>
      <c r="AP744" s="109"/>
      <c r="AQ744" s="109"/>
      <c r="AR744" s="109"/>
      <c r="AS744" s="109"/>
      <c r="AT744" s="109"/>
      <c r="AU744" s="109"/>
      <c r="AV744" s="109"/>
      <c r="AW744" s="109"/>
      <c r="AX744" s="109"/>
      <c r="AY744" s="109"/>
      <c r="AZ744" s="109"/>
    </row>
    <row r="745" spans="20:52" x14ac:dyDescent="0.45">
      <c r="T745" s="109"/>
      <c r="U745" s="109"/>
      <c r="V745" s="109"/>
      <c r="W745" s="109"/>
      <c r="X745" s="109"/>
      <c r="Y745" s="109"/>
      <c r="Z745" s="109"/>
      <c r="AA745" s="109"/>
      <c r="AB745" s="109"/>
      <c r="AC745" s="109"/>
      <c r="AD745" s="109"/>
      <c r="AE745" s="109"/>
      <c r="AF745" s="109"/>
      <c r="AG745" s="109"/>
      <c r="AH745" s="109"/>
      <c r="AI745" s="109"/>
      <c r="AJ745" s="109"/>
      <c r="AK745" s="109"/>
      <c r="AL745" s="109"/>
      <c r="AM745" s="109"/>
      <c r="AN745" s="109"/>
      <c r="AO745" s="109"/>
      <c r="AP745" s="109"/>
      <c r="AQ745" s="109"/>
      <c r="AR745" s="109"/>
      <c r="AS745" s="109"/>
      <c r="AT745" s="109"/>
      <c r="AU745" s="109"/>
      <c r="AV745" s="109"/>
      <c r="AW745" s="109"/>
      <c r="AX745" s="109"/>
      <c r="AY745" s="109"/>
      <c r="AZ745" s="109"/>
    </row>
    <row r="746" spans="20:52" x14ac:dyDescent="0.45">
      <c r="T746" s="109"/>
      <c r="U746" s="109"/>
      <c r="V746" s="109"/>
      <c r="W746" s="109"/>
      <c r="X746" s="109"/>
      <c r="Y746" s="109"/>
      <c r="Z746" s="109"/>
      <c r="AA746" s="109"/>
      <c r="AB746" s="109"/>
      <c r="AC746" s="109"/>
      <c r="AD746" s="109"/>
      <c r="AE746" s="109"/>
      <c r="AF746" s="109"/>
      <c r="AG746" s="109"/>
      <c r="AH746" s="109"/>
      <c r="AI746" s="109"/>
      <c r="AJ746" s="109"/>
      <c r="AK746" s="109"/>
      <c r="AL746" s="109"/>
      <c r="AM746" s="109"/>
      <c r="AN746" s="109"/>
      <c r="AO746" s="109"/>
      <c r="AP746" s="109"/>
      <c r="AQ746" s="109"/>
      <c r="AR746" s="109"/>
      <c r="AS746" s="109"/>
      <c r="AT746" s="109"/>
      <c r="AU746" s="109"/>
      <c r="AV746" s="109"/>
      <c r="AW746" s="109"/>
      <c r="AX746" s="109"/>
      <c r="AY746" s="109"/>
      <c r="AZ746" s="109"/>
    </row>
    <row r="747" spans="20:52" x14ac:dyDescent="0.45">
      <c r="T747" s="109"/>
      <c r="U747" s="109"/>
      <c r="V747" s="109"/>
      <c r="W747" s="109"/>
      <c r="X747" s="109"/>
      <c r="Y747" s="109"/>
      <c r="Z747" s="109"/>
      <c r="AA747" s="109"/>
      <c r="AB747" s="109"/>
      <c r="AC747" s="109"/>
      <c r="AD747" s="109"/>
      <c r="AE747" s="109"/>
      <c r="AF747" s="109"/>
      <c r="AG747" s="109"/>
      <c r="AH747" s="109"/>
      <c r="AI747" s="109"/>
      <c r="AJ747" s="109"/>
      <c r="AK747" s="109"/>
      <c r="AL747" s="109"/>
      <c r="AM747" s="109"/>
      <c r="AN747" s="109"/>
      <c r="AO747" s="109"/>
      <c r="AP747" s="109"/>
      <c r="AQ747" s="109"/>
      <c r="AR747" s="109"/>
      <c r="AS747" s="109"/>
      <c r="AT747" s="109"/>
      <c r="AU747" s="109"/>
      <c r="AV747" s="109"/>
      <c r="AW747" s="109"/>
      <c r="AX747" s="109"/>
      <c r="AY747" s="109"/>
      <c r="AZ747" s="109"/>
    </row>
    <row r="748" spans="20:52" x14ac:dyDescent="0.45">
      <c r="T748" s="109"/>
      <c r="U748" s="109"/>
      <c r="V748" s="109"/>
      <c r="W748" s="109"/>
      <c r="X748" s="109"/>
      <c r="Y748" s="109"/>
      <c r="Z748" s="109"/>
      <c r="AA748" s="109"/>
      <c r="AB748" s="109"/>
      <c r="AC748" s="109"/>
      <c r="AD748" s="109"/>
      <c r="AE748" s="109"/>
      <c r="AF748" s="109"/>
      <c r="AG748" s="109"/>
      <c r="AH748" s="109"/>
      <c r="AI748" s="109"/>
      <c r="AJ748" s="109"/>
      <c r="AK748" s="109"/>
      <c r="AL748" s="109"/>
      <c r="AM748" s="109"/>
      <c r="AN748" s="109"/>
      <c r="AO748" s="109"/>
      <c r="AP748" s="109"/>
      <c r="AQ748" s="109"/>
      <c r="AR748" s="109"/>
      <c r="AS748" s="109"/>
      <c r="AT748" s="109"/>
      <c r="AU748" s="109"/>
      <c r="AV748" s="109"/>
      <c r="AW748" s="109"/>
      <c r="AX748" s="109"/>
      <c r="AY748" s="109"/>
      <c r="AZ748" s="109"/>
    </row>
    <row r="749" spans="20:52" x14ac:dyDescent="0.45">
      <c r="T749" s="109"/>
      <c r="U749" s="109"/>
      <c r="V749" s="109"/>
      <c r="W749" s="109"/>
      <c r="X749" s="109"/>
      <c r="Y749" s="109"/>
      <c r="Z749" s="109"/>
      <c r="AA749" s="109"/>
      <c r="AB749" s="109"/>
      <c r="AC749" s="109"/>
      <c r="AD749" s="109"/>
      <c r="AE749" s="109"/>
      <c r="AF749" s="109"/>
      <c r="AG749" s="109"/>
      <c r="AH749" s="109"/>
      <c r="AI749" s="109"/>
      <c r="AJ749" s="109"/>
      <c r="AK749" s="109"/>
      <c r="AL749" s="109"/>
      <c r="AM749" s="109"/>
      <c r="AN749" s="109"/>
      <c r="AO749" s="109"/>
      <c r="AP749" s="109"/>
      <c r="AQ749" s="109"/>
      <c r="AR749" s="109"/>
      <c r="AS749" s="109"/>
      <c r="AT749" s="109"/>
      <c r="AU749" s="109"/>
      <c r="AV749" s="109"/>
      <c r="AW749" s="109"/>
      <c r="AX749" s="109"/>
      <c r="AY749" s="109"/>
      <c r="AZ749" s="109"/>
    </row>
    <row r="750" spans="20:52" x14ac:dyDescent="0.45">
      <c r="T750" s="109"/>
      <c r="U750" s="109"/>
      <c r="V750" s="109"/>
      <c r="W750" s="109"/>
      <c r="X750" s="109"/>
      <c r="Y750" s="109"/>
      <c r="Z750" s="109"/>
      <c r="AA750" s="109"/>
      <c r="AB750" s="109"/>
      <c r="AC750" s="109"/>
      <c r="AD750" s="109"/>
      <c r="AE750" s="109"/>
      <c r="AF750" s="109"/>
      <c r="AG750" s="109"/>
      <c r="AH750" s="109"/>
      <c r="AI750" s="109"/>
      <c r="AJ750" s="109"/>
      <c r="AK750" s="109"/>
      <c r="AL750" s="109"/>
      <c r="AM750" s="109"/>
      <c r="AN750" s="109"/>
      <c r="AO750" s="109"/>
      <c r="AP750" s="109"/>
      <c r="AQ750" s="109"/>
      <c r="AR750" s="109"/>
      <c r="AS750" s="109"/>
      <c r="AT750" s="109"/>
      <c r="AU750" s="109"/>
      <c r="AV750" s="109"/>
      <c r="AW750" s="109"/>
      <c r="AX750" s="109"/>
      <c r="AY750" s="109"/>
      <c r="AZ750" s="109"/>
    </row>
    <row r="751" spans="20:52" x14ac:dyDescent="0.45">
      <c r="T751" s="109"/>
      <c r="U751" s="109"/>
      <c r="V751" s="109"/>
      <c r="W751" s="109"/>
      <c r="X751" s="109"/>
      <c r="Y751" s="109"/>
      <c r="Z751" s="109"/>
      <c r="AA751" s="109"/>
      <c r="AB751" s="109"/>
      <c r="AC751" s="109"/>
      <c r="AD751" s="109"/>
      <c r="AE751" s="109"/>
      <c r="AF751" s="109"/>
      <c r="AG751" s="109"/>
      <c r="AH751" s="109"/>
      <c r="AI751" s="109"/>
      <c r="AJ751" s="109"/>
      <c r="AK751" s="109"/>
      <c r="AL751" s="109"/>
      <c r="AM751" s="109"/>
      <c r="AN751" s="109"/>
      <c r="AO751" s="109"/>
      <c r="AP751" s="109"/>
      <c r="AQ751" s="109"/>
      <c r="AR751" s="109"/>
      <c r="AS751" s="109"/>
      <c r="AT751" s="109"/>
      <c r="AU751" s="109"/>
      <c r="AV751" s="109"/>
      <c r="AW751" s="109"/>
      <c r="AX751" s="109"/>
      <c r="AY751" s="109"/>
      <c r="AZ751" s="109"/>
    </row>
    <row r="752" spans="20:52" x14ac:dyDescent="0.45">
      <c r="T752" s="109"/>
      <c r="U752" s="109"/>
      <c r="V752" s="109"/>
      <c r="W752" s="109"/>
      <c r="X752" s="109"/>
      <c r="Y752" s="109"/>
      <c r="Z752" s="109"/>
      <c r="AA752" s="109"/>
      <c r="AB752" s="109"/>
      <c r="AC752" s="109"/>
      <c r="AD752" s="109"/>
      <c r="AE752" s="109"/>
      <c r="AF752" s="109"/>
      <c r="AG752" s="109"/>
      <c r="AH752" s="109"/>
      <c r="AI752" s="109"/>
      <c r="AJ752" s="109"/>
      <c r="AK752" s="109"/>
      <c r="AL752" s="109"/>
      <c r="AM752" s="109"/>
      <c r="AN752" s="109"/>
      <c r="AO752" s="109"/>
      <c r="AP752" s="109"/>
      <c r="AQ752" s="109"/>
      <c r="AR752" s="109"/>
      <c r="AS752" s="109"/>
      <c r="AT752" s="109"/>
      <c r="AU752" s="109"/>
      <c r="AV752" s="109"/>
      <c r="AW752" s="109"/>
      <c r="AX752" s="109"/>
      <c r="AY752" s="109"/>
      <c r="AZ752" s="109"/>
    </row>
    <row r="753" spans="20:52" x14ac:dyDescent="0.45">
      <c r="T753" s="109"/>
      <c r="U753" s="109"/>
      <c r="V753" s="109"/>
      <c r="W753" s="109"/>
      <c r="X753" s="109"/>
      <c r="Y753" s="109"/>
      <c r="Z753" s="109"/>
      <c r="AA753" s="109"/>
      <c r="AB753" s="109"/>
      <c r="AC753" s="109"/>
      <c r="AD753" s="109"/>
      <c r="AE753" s="109"/>
      <c r="AF753" s="109"/>
      <c r="AG753" s="109"/>
      <c r="AH753" s="109"/>
      <c r="AI753" s="109"/>
      <c r="AJ753" s="109"/>
      <c r="AK753" s="109"/>
      <c r="AL753" s="109"/>
      <c r="AM753" s="109"/>
      <c r="AN753" s="109"/>
      <c r="AO753" s="109"/>
      <c r="AP753" s="109"/>
      <c r="AQ753" s="109"/>
      <c r="AR753" s="109"/>
      <c r="AS753" s="109"/>
      <c r="AT753" s="109"/>
      <c r="AU753" s="109"/>
      <c r="AV753" s="109"/>
      <c r="AW753" s="109"/>
      <c r="AX753" s="109"/>
      <c r="AY753" s="109"/>
      <c r="AZ753" s="109"/>
    </row>
    <row r="754" spans="20:52" x14ac:dyDescent="0.45">
      <c r="T754" s="109"/>
      <c r="U754" s="109"/>
      <c r="V754" s="109"/>
      <c r="W754" s="109"/>
      <c r="X754" s="109"/>
      <c r="Y754" s="109"/>
      <c r="Z754" s="109"/>
      <c r="AA754" s="109"/>
      <c r="AB754" s="109"/>
      <c r="AC754" s="109"/>
      <c r="AD754" s="109"/>
      <c r="AE754" s="109"/>
      <c r="AF754" s="109"/>
      <c r="AG754" s="109"/>
      <c r="AH754" s="109"/>
      <c r="AI754" s="109"/>
      <c r="AJ754" s="109"/>
      <c r="AK754" s="109"/>
      <c r="AL754" s="109"/>
      <c r="AM754" s="109"/>
      <c r="AN754" s="109"/>
      <c r="AO754" s="109"/>
      <c r="AP754" s="109"/>
      <c r="AQ754" s="109"/>
      <c r="AR754" s="109"/>
      <c r="AS754" s="109"/>
      <c r="AT754" s="109"/>
      <c r="AU754" s="109"/>
      <c r="AV754" s="109"/>
      <c r="AW754" s="109"/>
      <c r="AX754" s="109"/>
      <c r="AY754" s="109"/>
      <c r="AZ754" s="109"/>
    </row>
    <row r="755" spans="20:52" x14ac:dyDescent="0.45">
      <c r="T755" s="109"/>
      <c r="U755" s="109"/>
      <c r="V755" s="109"/>
      <c r="W755" s="109"/>
      <c r="X755" s="109"/>
      <c r="Y755" s="109"/>
      <c r="Z755" s="109"/>
      <c r="AA755" s="109"/>
      <c r="AB755" s="109"/>
      <c r="AC755" s="109"/>
      <c r="AD755" s="109"/>
      <c r="AE755" s="109"/>
      <c r="AF755" s="109"/>
      <c r="AG755" s="109"/>
      <c r="AH755" s="109"/>
      <c r="AI755" s="109"/>
      <c r="AJ755" s="109"/>
      <c r="AK755" s="109"/>
      <c r="AL755" s="109"/>
      <c r="AM755" s="109"/>
      <c r="AN755" s="109"/>
      <c r="AO755" s="109"/>
      <c r="AP755" s="109"/>
      <c r="AQ755" s="109"/>
      <c r="AR755" s="109"/>
      <c r="AS755" s="109"/>
      <c r="AT755" s="109"/>
      <c r="AU755" s="109"/>
      <c r="AV755" s="109"/>
      <c r="AW755" s="109"/>
      <c r="AX755" s="109"/>
      <c r="AY755" s="109"/>
      <c r="AZ755" s="109"/>
    </row>
    <row r="756" spans="20:52" x14ac:dyDescent="0.45">
      <c r="T756" s="109"/>
      <c r="U756" s="109"/>
      <c r="V756" s="109"/>
      <c r="W756" s="109"/>
      <c r="X756" s="109"/>
      <c r="Y756" s="109"/>
      <c r="Z756" s="109"/>
      <c r="AA756" s="109"/>
      <c r="AB756" s="109"/>
      <c r="AC756" s="109"/>
      <c r="AD756" s="109"/>
      <c r="AE756" s="109"/>
      <c r="AF756" s="109"/>
      <c r="AG756" s="109"/>
      <c r="AH756" s="109"/>
      <c r="AI756" s="109"/>
      <c r="AJ756" s="109"/>
      <c r="AK756" s="109"/>
      <c r="AL756" s="109"/>
      <c r="AM756" s="109"/>
      <c r="AN756" s="109"/>
      <c r="AO756" s="109"/>
      <c r="AP756" s="109"/>
      <c r="AQ756" s="109"/>
      <c r="AR756" s="109"/>
      <c r="AS756" s="109"/>
      <c r="AT756" s="109"/>
      <c r="AU756" s="109"/>
      <c r="AV756" s="109"/>
      <c r="AW756" s="109"/>
      <c r="AX756" s="109"/>
      <c r="AY756" s="109"/>
      <c r="AZ756" s="109"/>
    </row>
    <row r="757" spans="20:52" x14ac:dyDescent="0.45">
      <c r="T757" s="109"/>
      <c r="U757" s="109"/>
      <c r="V757" s="109"/>
      <c r="W757" s="109"/>
      <c r="X757" s="109"/>
      <c r="Y757" s="109"/>
      <c r="Z757" s="109"/>
      <c r="AA757" s="109"/>
      <c r="AB757" s="109"/>
      <c r="AC757" s="109"/>
      <c r="AD757" s="109"/>
      <c r="AE757" s="109"/>
      <c r="AF757" s="109"/>
      <c r="AG757" s="109"/>
      <c r="AH757" s="109"/>
      <c r="AI757" s="109"/>
      <c r="AJ757" s="109"/>
      <c r="AK757" s="109"/>
      <c r="AL757" s="109"/>
      <c r="AM757" s="109"/>
      <c r="AN757" s="109"/>
      <c r="AO757" s="109"/>
      <c r="AP757" s="109"/>
      <c r="AQ757" s="109"/>
      <c r="AR757" s="109"/>
      <c r="AS757" s="109"/>
      <c r="AT757" s="109"/>
      <c r="AU757" s="109"/>
      <c r="AV757" s="109"/>
      <c r="AW757" s="109"/>
      <c r="AX757" s="109"/>
      <c r="AY757" s="109"/>
      <c r="AZ757" s="109"/>
    </row>
    <row r="758" spans="20:52" x14ac:dyDescent="0.45">
      <c r="T758" s="109"/>
      <c r="U758" s="109"/>
      <c r="V758" s="109"/>
      <c r="W758" s="109"/>
      <c r="X758" s="109"/>
      <c r="Y758" s="109"/>
      <c r="Z758" s="109"/>
      <c r="AA758" s="109"/>
      <c r="AB758" s="109"/>
      <c r="AC758" s="109"/>
      <c r="AD758" s="109"/>
      <c r="AE758" s="109"/>
      <c r="AF758" s="109"/>
      <c r="AG758" s="109"/>
      <c r="AH758" s="109"/>
      <c r="AI758" s="109"/>
      <c r="AJ758" s="109"/>
      <c r="AK758" s="109"/>
      <c r="AL758" s="109"/>
      <c r="AM758" s="109"/>
      <c r="AN758" s="109"/>
      <c r="AO758" s="109"/>
      <c r="AP758" s="109"/>
      <c r="AQ758" s="109"/>
      <c r="AR758" s="109"/>
      <c r="AS758" s="109"/>
      <c r="AT758" s="109"/>
      <c r="AU758" s="109"/>
      <c r="AV758" s="109"/>
      <c r="AW758" s="109"/>
      <c r="AX758" s="109"/>
      <c r="AY758" s="109"/>
      <c r="AZ758" s="109"/>
    </row>
    <row r="759" spans="20:52" x14ac:dyDescent="0.45">
      <c r="T759" s="109"/>
      <c r="U759" s="109"/>
      <c r="V759" s="109"/>
      <c r="W759" s="109"/>
      <c r="X759" s="109"/>
      <c r="Y759" s="109"/>
      <c r="Z759" s="109"/>
      <c r="AA759" s="109"/>
      <c r="AB759" s="109"/>
      <c r="AC759" s="109"/>
      <c r="AD759" s="109"/>
      <c r="AE759" s="109"/>
      <c r="AF759" s="109"/>
      <c r="AG759" s="109"/>
      <c r="AH759" s="109"/>
      <c r="AI759" s="109"/>
      <c r="AJ759" s="109"/>
      <c r="AK759" s="109"/>
      <c r="AL759" s="109"/>
      <c r="AM759" s="109"/>
      <c r="AN759" s="109"/>
      <c r="AO759" s="109"/>
      <c r="AP759" s="109"/>
      <c r="AQ759" s="109"/>
      <c r="AR759" s="109"/>
      <c r="AS759" s="109"/>
      <c r="AT759" s="109"/>
      <c r="AU759" s="109"/>
      <c r="AV759" s="109"/>
      <c r="AW759" s="109"/>
      <c r="AX759" s="109"/>
      <c r="AY759" s="109"/>
      <c r="AZ759" s="109"/>
    </row>
    <row r="760" spans="20:52" x14ac:dyDescent="0.45">
      <c r="T760" s="109"/>
      <c r="U760" s="109"/>
      <c r="V760" s="109"/>
      <c r="W760" s="109"/>
      <c r="X760" s="109"/>
      <c r="Y760" s="109"/>
      <c r="Z760" s="109"/>
      <c r="AA760" s="109"/>
      <c r="AB760" s="109"/>
      <c r="AC760" s="109"/>
      <c r="AD760" s="109"/>
      <c r="AE760" s="109"/>
      <c r="AF760" s="109"/>
      <c r="AG760" s="109"/>
      <c r="AH760" s="109"/>
      <c r="AI760" s="109"/>
      <c r="AJ760" s="109"/>
      <c r="AK760" s="109"/>
      <c r="AL760" s="109"/>
      <c r="AM760" s="109"/>
      <c r="AN760" s="109"/>
      <c r="AO760" s="109"/>
      <c r="AP760" s="109"/>
      <c r="AQ760" s="109"/>
      <c r="AR760" s="109"/>
      <c r="AS760" s="109"/>
      <c r="AT760" s="109"/>
      <c r="AU760" s="109"/>
      <c r="AV760" s="109"/>
      <c r="AW760" s="109"/>
      <c r="AX760" s="109"/>
      <c r="AY760" s="109"/>
      <c r="AZ760" s="109"/>
    </row>
    <row r="761" spans="20:52" x14ac:dyDescent="0.45">
      <c r="T761" s="109"/>
      <c r="U761" s="109"/>
      <c r="V761" s="109"/>
      <c r="W761" s="109"/>
      <c r="X761" s="109"/>
      <c r="Y761" s="109"/>
      <c r="Z761" s="109"/>
      <c r="AA761" s="109"/>
      <c r="AB761" s="109"/>
      <c r="AC761" s="109"/>
      <c r="AD761" s="109"/>
      <c r="AE761" s="109"/>
      <c r="AF761" s="109"/>
      <c r="AG761" s="109"/>
      <c r="AH761" s="109"/>
      <c r="AI761" s="109"/>
      <c r="AJ761" s="109"/>
      <c r="AK761" s="109"/>
      <c r="AL761" s="109"/>
      <c r="AM761" s="109"/>
      <c r="AN761" s="109"/>
      <c r="AO761" s="109"/>
      <c r="AP761" s="109"/>
      <c r="AQ761" s="109"/>
      <c r="AR761" s="109"/>
      <c r="AS761" s="109"/>
      <c r="AT761" s="109"/>
      <c r="AU761" s="109"/>
      <c r="AV761" s="109"/>
      <c r="AW761" s="109"/>
      <c r="AX761" s="109"/>
      <c r="AY761" s="109"/>
      <c r="AZ761" s="109"/>
    </row>
    <row r="762" spans="20:52" x14ac:dyDescent="0.45">
      <c r="T762" s="109"/>
      <c r="U762" s="109"/>
      <c r="V762" s="109"/>
      <c r="W762" s="109"/>
      <c r="X762" s="109"/>
      <c r="Y762" s="109"/>
      <c r="Z762" s="109"/>
      <c r="AA762" s="109"/>
      <c r="AB762" s="109"/>
      <c r="AC762" s="109"/>
      <c r="AD762" s="109"/>
      <c r="AE762" s="109"/>
      <c r="AF762" s="109"/>
      <c r="AG762" s="109"/>
      <c r="AH762" s="109"/>
      <c r="AI762" s="109"/>
      <c r="AJ762" s="109"/>
      <c r="AK762" s="109"/>
      <c r="AL762" s="109"/>
      <c r="AM762" s="109"/>
      <c r="AN762" s="109"/>
      <c r="AO762" s="109"/>
      <c r="AP762" s="109"/>
      <c r="AQ762" s="109"/>
      <c r="AR762" s="109"/>
      <c r="AS762" s="109"/>
      <c r="AT762" s="109"/>
      <c r="AU762" s="109"/>
      <c r="AV762" s="109"/>
      <c r="AW762" s="109"/>
      <c r="AX762" s="109"/>
      <c r="AY762" s="109"/>
      <c r="AZ762" s="109"/>
    </row>
    <row r="763" spans="20:52" x14ac:dyDescent="0.45">
      <c r="T763" s="109"/>
      <c r="U763" s="109"/>
      <c r="V763" s="109"/>
      <c r="W763" s="109"/>
      <c r="X763" s="109"/>
      <c r="Y763" s="109"/>
      <c r="Z763" s="109"/>
      <c r="AA763" s="109"/>
      <c r="AB763" s="109"/>
      <c r="AC763" s="109"/>
      <c r="AD763" s="109"/>
      <c r="AE763" s="109"/>
      <c r="AF763" s="109"/>
      <c r="AG763" s="109"/>
      <c r="AH763" s="109"/>
      <c r="AI763" s="109"/>
      <c r="AJ763" s="109"/>
      <c r="AK763" s="109"/>
      <c r="AL763" s="109"/>
      <c r="AM763" s="109"/>
      <c r="AN763" s="109"/>
      <c r="AO763" s="109"/>
      <c r="AP763" s="109"/>
      <c r="AQ763" s="109"/>
      <c r="AR763" s="109"/>
      <c r="AS763" s="109"/>
      <c r="AT763" s="109"/>
      <c r="AU763" s="109"/>
      <c r="AV763" s="109"/>
      <c r="AW763" s="109"/>
      <c r="AX763" s="109"/>
      <c r="AY763" s="109"/>
      <c r="AZ763" s="109"/>
    </row>
    <row r="764" spans="20:52" x14ac:dyDescent="0.45">
      <c r="T764" s="109"/>
      <c r="U764" s="109"/>
      <c r="V764" s="109"/>
      <c r="W764" s="109"/>
      <c r="X764" s="109"/>
      <c r="Y764" s="109"/>
      <c r="Z764" s="109"/>
      <c r="AA764" s="109"/>
      <c r="AB764" s="109"/>
      <c r="AC764" s="109"/>
      <c r="AD764" s="109"/>
      <c r="AE764" s="109"/>
      <c r="AF764" s="109"/>
      <c r="AG764" s="109"/>
      <c r="AH764" s="109"/>
      <c r="AI764" s="109"/>
      <c r="AJ764" s="109"/>
      <c r="AK764" s="109"/>
      <c r="AL764" s="109"/>
      <c r="AM764" s="109"/>
      <c r="AN764" s="109"/>
      <c r="AO764" s="109"/>
      <c r="AP764" s="109"/>
      <c r="AQ764" s="109"/>
      <c r="AR764" s="109"/>
      <c r="AS764" s="109"/>
      <c r="AT764" s="109"/>
      <c r="AU764" s="109"/>
      <c r="AV764" s="109"/>
      <c r="AW764" s="109"/>
      <c r="AX764" s="109"/>
      <c r="AY764" s="109"/>
      <c r="AZ764" s="109"/>
    </row>
    <row r="765" spans="20:52" x14ac:dyDescent="0.45">
      <c r="T765" s="109"/>
      <c r="U765" s="109"/>
      <c r="V765" s="109"/>
      <c r="W765" s="109"/>
      <c r="X765" s="109"/>
      <c r="Y765" s="109"/>
      <c r="Z765" s="109"/>
      <c r="AA765" s="109"/>
      <c r="AB765" s="109"/>
      <c r="AC765" s="109"/>
      <c r="AD765" s="109"/>
      <c r="AE765" s="109"/>
      <c r="AF765" s="109"/>
      <c r="AG765" s="109"/>
      <c r="AH765" s="109"/>
      <c r="AI765" s="109"/>
      <c r="AJ765" s="109"/>
      <c r="AK765" s="109"/>
      <c r="AL765" s="109"/>
      <c r="AM765" s="109"/>
      <c r="AN765" s="109"/>
      <c r="AO765" s="109"/>
      <c r="AP765" s="109"/>
      <c r="AQ765" s="109"/>
      <c r="AR765" s="109"/>
      <c r="AS765" s="109"/>
      <c r="AT765" s="109"/>
      <c r="AU765" s="109"/>
      <c r="AV765" s="109"/>
      <c r="AW765" s="109"/>
      <c r="AX765" s="109"/>
      <c r="AY765" s="109"/>
      <c r="AZ765" s="109"/>
    </row>
    <row r="766" spans="20:52" x14ac:dyDescent="0.45">
      <c r="T766" s="109"/>
      <c r="U766" s="109"/>
      <c r="V766" s="109"/>
      <c r="W766" s="109"/>
      <c r="X766" s="109"/>
      <c r="Y766" s="109"/>
      <c r="Z766" s="109"/>
      <c r="AA766" s="109"/>
      <c r="AB766" s="109"/>
      <c r="AC766" s="109"/>
      <c r="AD766" s="109"/>
      <c r="AE766" s="109"/>
      <c r="AF766" s="109"/>
      <c r="AG766" s="109"/>
      <c r="AH766" s="109"/>
      <c r="AI766" s="109"/>
      <c r="AJ766" s="109"/>
      <c r="AK766" s="109"/>
      <c r="AL766" s="109"/>
      <c r="AM766" s="109"/>
      <c r="AN766" s="109"/>
      <c r="AO766" s="109"/>
      <c r="AP766" s="109"/>
      <c r="AQ766" s="109"/>
      <c r="AR766" s="109"/>
      <c r="AS766" s="109"/>
      <c r="AT766" s="109"/>
      <c r="AU766" s="109"/>
      <c r="AV766" s="109"/>
      <c r="AW766" s="109"/>
      <c r="AX766" s="109"/>
      <c r="AY766" s="109"/>
      <c r="AZ766" s="109"/>
    </row>
    <row r="767" spans="20:52" x14ac:dyDescent="0.45">
      <c r="T767" s="109"/>
      <c r="U767" s="109"/>
      <c r="V767" s="109"/>
      <c r="W767" s="109"/>
      <c r="X767" s="109"/>
      <c r="Y767" s="109"/>
      <c r="Z767" s="109"/>
      <c r="AA767" s="109"/>
      <c r="AB767" s="109"/>
      <c r="AC767" s="109"/>
      <c r="AD767" s="109"/>
      <c r="AE767" s="109"/>
      <c r="AF767" s="109"/>
      <c r="AG767" s="109"/>
      <c r="AH767" s="109"/>
      <c r="AI767" s="109"/>
      <c r="AJ767" s="109"/>
      <c r="AK767" s="109"/>
      <c r="AL767" s="109"/>
      <c r="AM767" s="109"/>
      <c r="AN767" s="109"/>
      <c r="AO767" s="109"/>
      <c r="AP767" s="109"/>
      <c r="AQ767" s="109"/>
      <c r="AR767" s="109"/>
      <c r="AS767" s="109"/>
      <c r="AT767" s="109"/>
      <c r="AU767" s="109"/>
      <c r="AV767" s="109"/>
      <c r="AW767" s="109"/>
      <c r="AX767" s="109"/>
      <c r="AY767" s="109"/>
      <c r="AZ767" s="109"/>
    </row>
    <row r="768" spans="20:52" x14ac:dyDescent="0.45">
      <c r="T768" s="109"/>
      <c r="U768" s="109"/>
      <c r="V768" s="109"/>
      <c r="W768" s="109"/>
      <c r="X768" s="109"/>
      <c r="Y768" s="109"/>
      <c r="Z768" s="109"/>
      <c r="AA768" s="109"/>
      <c r="AB768" s="109"/>
      <c r="AC768" s="109"/>
      <c r="AD768" s="109"/>
      <c r="AE768" s="109"/>
      <c r="AF768" s="109"/>
      <c r="AG768" s="109"/>
      <c r="AH768" s="109"/>
      <c r="AI768" s="109"/>
      <c r="AJ768" s="109"/>
      <c r="AK768" s="109"/>
      <c r="AL768" s="109"/>
      <c r="AM768" s="109"/>
      <c r="AN768" s="109"/>
      <c r="AO768" s="109"/>
      <c r="AP768" s="109"/>
      <c r="AQ768" s="109"/>
      <c r="AR768" s="109"/>
      <c r="AS768" s="109"/>
      <c r="AT768" s="109"/>
      <c r="AU768" s="109"/>
      <c r="AV768" s="109"/>
      <c r="AW768" s="109"/>
      <c r="AX768" s="109"/>
      <c r="AY768" s="109"/>
      <c r="AZ768" s="109"/>
    </row>
    <row r="769" spans="20:52" x14ac:dyDescent="0.45">
      <c r="T769" s="109"/>
      <c r="U769" s="109"/>
      <c r="V769" s="109"/>
      <c r="W769" s="109"/>
      <c r="X769" s="109"/>
      <c r="Y769" s="109"/>
      <c r="Z769" s="109"/>
      <c r="AA769" s="109"/>
      <c r="AB769" s="109"/>
      <c r="AC769" s="109"/>
      <c r="AD769" s="109"/>
      <c r="AE769" s="109"/>
      <c r="AF769" s="109"/>
      <c r="AG769" s="109"/>
      <c r="AH769" s="109"/>
      <c r="AI769" s="109"/>
      <c r="AJ769" s="109"/>
      <c r="AK769" s="109"/>
      <c r="AL769" s="109"/>
      <c r="AM769" s="109"/>
      <c r="AN769" s="109"/>
      <c r="AO769" s="109"/>
      <c r="AP769" s="109"/>
      <c r="AQ769" s="109"/>
      <c r="AR769" s="109"/>
      <c r="AS769" s="109"/>
      <c r="AT769" s="109"/>
      <c r="AU769" s="109"/>
      <c r="AV769" s="109"/>
      <c r="AW769" s="109"/>
      <c r="AX769" s="109"/>
      <c r="AY769" s="109"/>
      <c r="AZ769" s="109"/>
    </row>
    <row r="770" spans="20:52" x14ac:dyDescent="0.45">
      <c r="T770" s="109"/>
      <c r="U770" s="109"/>
      <c r="V770" s="109"/>
      <c r="W770" s="109"/>
      <c r="X770" s="109"/>
      <c r="Y770" s="109"/>
      <c r="Z770" s="109"/>
      <c r="AA770" s="109"/>
      <c r="AB770" s="109"/>
      <c r="AC770" s="109"/>
      <c r="AD770" s="109"/>
      <c r="AE770" s="109"/>
      <c r="AF770" s="109"/>
      <c r="AG770" s="109"/>
      <c r="AH770" s="109"/>
      <c r="AI770" s="109"/>
      <c r="AJ770" s="109"/>
      <c r="AK770" s="109"/>
      <c r="AL770" s="109"/>
      <c r="AM770" s="109"/>
      <c r="AN770" s="109"/>
      <c r="AO770" s="109"/>
      <c r="AP770" s="109"/>
      <c r="AQ770" s="109"/>
      <c r="AR770" s="109"/>
      <c r="AS770" s="109"/>
      <c r="AT770" s="109"/>
      <c r="AU770" s="109"/>
      <c r="AV770" s="109"/>
      <c r="AW770" s="109"/>
      <c r="AX770" s="109"/>
      <c r="AY770" s="109"/>
      <c r="AZ770" s="109"/>
    </row>
    <row r="771" spans="20:52" x14ac:dyDescent="0.45">
      <c r="T771" s="109"/>
      <c r="U771" s="109"/>
      <c r="V771" s="109"/>
      <c r="W771" s="109"/>
      <c r="X771" s="109"/>
      <c r="Y771" s="109"/>
      <c r="Z771" s="109"/>
      <c r="AA771" s="109"/>
      <c r="AB771" s="109"/>
      <c r="AC771" s="109"/>
      <c r="AD771" s="109"/>
      <c r="AE771" s="109"/>
      <c r="AF771" s="109"/>
      <c r="AG771" s="109"/>
      <c r="AH771" s="109"/>
      <c r="AI771" s="109"/>
      <c r="AJ771" s="109"/>
      <c r="AK771" s="109"/>
      <c r="AL771" s="109"/>
      <c r="AM771" s="109"/>
      <c r="AN771" s="109"/>
      <c r="AO771" s="109"/>
      <c r="AP771" s="109"/>
      <c r="AQ771" s="109"/>
      <c r="AR771" s="109"/>
      <c r="AS771" s="109"/>
      <c r="AT771" s="109"/>
      <c r="AU771" s="109"/>
      <c r="AV771" s="109"/>
      <c r="AW771" s="109"/>
      <c r="AX771" s="109"/>
      <c r="AY771" s="109"/>
      <c r="AZ771" s="109"/>
    </row>
    <row r="772" spans="20:52" x14ac:dyDescent="0.45">
      <c r="T772" s="109"/>
      <c r="U772" s="109"/>
      <c r="V772" s="109"/>
      <c r="W772" s="109"/>
      <c r="X772" s="109"/>
      <c r="Y772" s="109"/>
      <c r="Z772" s="109"/>
      <c r="AA772" s="109"/>
      <c r="AB772" s="109"/>
      <c r="AC772" s="109"/>
      <c r="AD772" s="109"/>
      <c r="AE772" s="109"/>
      <c r="AF772" s="109"/>
      <c r="AG772" s="109"/>
      <c r="AH772" s="109"/>
      <c r="AI772" s="109"/>
      <c r="AJ772" s="109"/>
      <c r="AK772" s="109"/>
      <c r="AL772" s="109"/>
      <c r="AM772" s="109"/>
      <c r="AN772" s="109"/>
      <c r="AO772" s="109"/>
      <c r="AP772" s="109"/>
      <c r="AQ772" s="109"/>
      <c r="AR772" s="109"/>
      <c r="AS772" s="109"/>
      <c r="AT772" s="109"/>
      <c r="AU772" s="109"/>
      <c r="AV772" s="109"/>
      <c r="AW772" s="109"/>
      <c r="AX772" s="109"/>
      <c r="AY772" s="109"/>
      <c r="AZ772" s="109"/>
    </row>
    <row r="773" spans="20:52" x14ac:dyDescent="0.45">
      <c r="T773" s="109"/>
      <c r="U773" s="109"/>
      <c r="V773" s="109"/>
      <c r="W773" s="109"/>
      <c r="X773" s="109"/>
      <c r="Y773" s="109"/>
      <c r="Z773" s="109"/>
      <c r="AA773" s="109"/>
      <c r="AB773" s="109"/>
      <c r="AC773" s="109"/>
      <c r="AD773" s="109"/>
      <c r="AE773" s="109"/>
      <c r="AF773" s="109"/>
      <c r="AG773" s="109"/>
      <c r="AH773" s="109"/>
      <c r="AI773" s="109"/>
      <c r="AJ773" s="109"/>
      <c r="AK773" s="109"/>
      <c r="AL773" s="109"/>
      <c r="AM773" s="109"/>
      <c r="AN773" s="109"/>
      <c r="AO773" s="109"/>
      <c r="AP773" s="109"/>
      <c r="AQ773" s="109"/>
      <c r="AR773" s="109"/>
      <c r="AS773" s="109"/>
      <c r="AT773" s="109"/>
      <c r="AU773" s="109"/>
      <c r="AV773" s="109"/>
      <c r="AW773" s="109"/>
      <c r="AX773" s="109"/>
      <c r="AY773" s="109"/>
      <c r="AZ773" s="109"/>
    </row>
    <row r="774" spans="20:52" x14ac:dyDescent="0.45">
      <c r="T774" s="109"/>
      <c r="U774" s="109"/>
      <c r="V774" s="109"/>
      <c r="W774" s="109"/>
      <c r="X774" s="109"/>
      <c r="Y774" s="109"/>
      <c r="Z774" s="109"/>
      <c r="AA774" s="109"/>
      <c r="AB774" s="109"/>
      <c r="AC774" s="109"/>
      <c r="AD774" s="109"/>
      <c r="AE774" s="109"/>
      <c r="AF774" s="109"/>
      <c r="AG774" s="109"/>
      <c r="AH774" s="109"/>
      <c r="AI774" s="109"/>
      <c r="AJ774" s="109"/>
      <c r="AK774" s="109"/>
      <c r="AL774" s="109"/>
      <c r="AM774" s="109"/>
      <c r="AN774" s="109"/>
      <c r="AO774" s="109"/>
      <c r="AP774" s="109"/>
      <c r="AQ774" s="109"/>
      <c r="AR774" s="109"/>
      <c r="AS774" s="109"/>
      <c r="AT774" s="109"/>
      <c r="AU774" s="109"/>
      <c r="AV774" s="109"/>
      <c r="AW774" s="109"/>
      <c r="AX774" s="109"/>
      <c r="AY774" s="109"/>
      <c r="AZ774" s="109"/>
    </row>
    <row r="775" spans="20:52" x14ac:dyDescent="0.45">
      <c r="T775" s="109"/>
      <c r="U775" s="109"/>
      <c r="V775" s="109"/>
      <c r="W775" s="109"/>
      <c r="X775" s="109"/>
      <c r="Y775" s="109"/>
      <c r="Z775" s="109"/>
      <c r="AA775" s="109"/>
      <c r="AB775" s="109"/>
      <c r="AC775" s="109"/>
      <c r="AD775" s="109"/>
      <c r="AE775" s="109"/>
      <c r="AF775" s="109"/>
      <c r="AG775" s="109"/>
      <c r="AH775" s="109"/>
      <c r="AI775" s="109"/>
      <c r="AJ775" s="109"/>
      <c r="AK775" s="109"/>
      <c r="AL775" s="109"/>
      <c r="AM775" s="109"/>
      <c r="AN775" s="109"/>
      <c r="AO775" s="109"/>
      <c r="AP775" s="109"/>
      <c r="AQ775" s="109"/>
      <c r="AR775" s="109"/>
      <c r="AS775" s="109"/>
      <c r="AT775" s="109"/>
      <c r="AU775" s="109"/>
      <c r="AV775" s="109"/>
      <c r="AW775" s="109"/>
      <c r="AX775" s="109"/>
      <c r="AY775" s="109"/>
      <c r="AZ775" s="109"/>
    </row>
    <row r="776" spans="20:52" x14ac:dyDescent="0.45">
      <c r="T776" s="109"/>
      <c r="U776" s="109"/>
      <c r="V776" s="109"/>
      <c r="W776" s="109"/>
      <c r="X776" s="109"/>
      <c r="Y776" s="109"/>
      <c r="Z776" s="109"/>
      <c r="AA776" s="109"/>
      <c r="AB776" s="109"/>
      <c r="AC776" s="109"/>
      <c r="AD776" s="109"/>
      <c r="AE776" s="109"/>
      <c r="AF776" s="109"/>
      <c r="AG776" s="109"/>
      <c r="AH776" s="109"/>
      <c r="AI776" s="109"/>
      <c r="AJ776" s="109"/>
      <c r="AK776" s="109"/>
      <c r="AL776" s="109"/>
      <c r="AM776" s="109"/>
      <c r="AN776" s="109"/>
      <c r="AO776" s="109"/>
      <c r="AP776" s="109"/>
      <c r="AQ776" s="109"/>
      <c r="AR776" s="109"/>
      <c r="AS776" s="109"/>
      <c r="AT776" s="109"/>
      <c r="AU776" s="109"/>
      <c r="AV776" s="109"/>
      <c r="AW776" s="109"/>
      <c r="AX776" s="109"/>
      <c r="AY776" s="109"/>
      <c r="AZ776" s="109"/>
    </row>
    <row r="777" spans="20:52" x14ac:dyDescent="0.45">
      <c r="T777" s="109"/>
      <c r="U777" s="109"/>
      <c r="V777" s="109"/>
      <c r="W777" s="109"/>
      <c r="X777" s="109"/>
      <c r="Y777" s="109"/>
      <c r="Z777" s="109"/>
      <c r="AA777" s="109"/>
      <c r="AB777" s="109"/>
      <c r="AC777" s="109"/>
      <c r="AD777" s="109"/>
      <c r="AE777" s="109"/>
      <c r="AF777" s="109"/>
      <c r="AG777" s="109"/>
      <c r="AH777" s="109"/>
      <c r="AI777" s="109"/>
      <c r="AJ777" s="109"/>
      <c r="AK777" s="109"/>
      <c r="AL777" s="109"/>
      <c r="AM777" s="109"/>
      <c r="AN777" s="109"/>
      <c r="AO777" s="109"/>
      <c r="AP777" s="109"/>
      <c r="AQ777" s="109"/>
      <c r="AR777" s="109"/>
      <c r="AS777" s="109"/>
      <c r="AT777" s="109"/>
      <c r="AU777" s="109"/>
      <c r="AV777" s="109"/>
      <c r="AW777" s="109"/>
      <c r="AX777" s="109"/>
      <c r="AY777" s="109"/>
      <c r="AZ777" s="109"/>
    </row>
    <row r="778" spans="20:52" x14ac:dyDescent="0.45">
      <c r="T778" s="109"/>
      <c r="U778" s="109"/>
      <c r="V778" s="109"/>
      <c r="W778" s="109"/>
      <c r="X778" s="109"/>
      <c r="Y778" s="109"/>
      <c r="Z778" s="109"/>
      <c r="AA778" s="109"/>
      <c r="AB778" s="109"/>
      <c r="AC778" s="109"/>
      <c r="AD778" s="109"/>
      <c r="AE778" s="109"/>
      <c r="AF778" s="109"/>
      <c r="AG778" s="109"/>
      <c r="AH778" s="109"/>
      <c r="AI778" s="109"/>
      <c r="AJ778" s="109"/>
      <c r="AK778" s="109"/>
      <c r="AL778" s="109"/>
      <c r="AM778" s="109"/>
      <c r="AN778" s="109"/>
      <c r="AO778" s="109"/>
      <c r="AP778" s="109"/>
      <c r="AQ778" s="109"/>
      <c r="AR778" s="109"/>
      <c r="AS778" s="109"/>
      <c r="AT778" s="109"/>
      <c r="AU778" s="109"/>
      <c r="AV778" s="109"/>
      <c r="AW778" s="109"/>
      <c r="AX778" s="109"/>
      <c r="AY778" s="109"/>
      <c r="AZ778" s="109"/>
    </row>
    <row r="779" spans="20:52" x14ac:dyDescent="0.45">
      <c r="T779" s="109"/>
      <c r="U779" s="109"/>
      <c r="V779" s="109"/>
      <c r="W779" s="109"/>
      <c r="X779" s="109"/>
      <c r="Y779" s="109"/>
      <c r="Z779" s="109"/>
      <c r="AA779" s="109"/>
      <c r="AB779" s="109"/>
      <c r="AC779" s="109"/>
      <c r="AD779" s="109"/>
      <c r="AE779" s="109"/>
      <c r="AF779" s="109"/>
      <c r="AG779" s="109"/>
      <c r="AH779" s="109"/>
      <c r="AI779" s="109"/>
      <c r="AJ779" s="109"/>
      <c r="AK779" s="109"/>
      <c r="AL779" s="109"/>
      <c r="AM779" s="109"/>
      <c r="AN779" s="109"/>
      <c r="AO779" s="109"/>
      <c r="AP779" s="109"/>
      <c r="AQ779" s="109"/>
      <c r="AR779" s="109"/>
      <c r="AS779" s="109"/>
      <c r="AT779" s="109"/>
      <c r="AU779" s="109"/>
      <c r="AV779" s="109"/>
      <c r="AW779" s="109"/>
      <c r="AX779" s="109"/>
      <c r="AY779" s="109"/>
      <c r="AZ779" s="109"/>
    </row>
    <row r="780" spans="20:52" x14ac:dyDescent="0.45">
      <c r="T780" s="109"/>
      <c r="U780" s="109"/>
      <c r="V780" s="109"/>
      <c r="W780" s="109"/>
      <c r="X780" s="109"/>
      <c r="Y780" s="109"/>
      <c r="Z780" s="109"/>
      <c r="AA780" s="109"/>
      <c r="AB780" s="109"/>
      <c r="AC780" s="109"/>
      <c r="AD780" s="109"/>
      <c r="AE780" s="109"/>
      <c r="AF780" s="109"/>
      <c r="AG780" s="109"/>
      <c r="AH780" s="109"/>
      <c r="AI780" s="109"/>
      <c r="AJ780" s="109"/>
      <c r="AK780" s="109"/>
      <c r="AL780" s="109"/>
      <c r="AM780" s="109"/>
      <c r="AN780" s="109"/>
      <c r="AO780" s="109"/>
      <c r="AP780" s="109"/>
      <c r="AQ780" s="109"/>
      <c r="AR780" s="109"/>
      <c r="AS780" s="109"/>
      <c r="AT780" s="109"/>
      <c r="AU780" s="109"/>
      <c r="AV780" s="109"/>
      <c r="AW780" s="109"/>
      <c r="AX780" s="109"/>
      <c r="AY780" s="109"/>
      <c r="AZ780" s="109"/>
    </row>
    <row r="781" spans="20:52" x14ac:dyDescent="0.45">
      <c r="T781" s="109"/>
      <c r="U781" s="109"/>
      <c r="V781" s="109"/>
      <c r="W781" s="109"/>
      <c r="X781" s="109"/>
      <c r="Y781" s="109"/>
      <c r="Z781" s="109"/>
      <c r="AA781" s="109"/>
      <c r="AB781" s="109"/>
      <c r="AC781" s="109"/>
      <c r="AD781" s="109"/>
      <c r="AE781" s="109"/>
      <c r="AF781" s="109"/>
      <c r="AG781" s="109"/>
      <c r="AH781" s="109"/>
      <c r="AI781" s="109"/>
      <c r="AJ781" s="109"/>
      <c r="AK781" s="109"/>
      <c r="AL781" s="109"/>
      <c r="AM781" s="109"/>
      <c r="AN781" s="109"/>
      <c r="AO781" s="109"/>
      <c r="AP781" s="109"/>
      <c r="AQ781" s="109"/>
      <c r="AR781" s="109"/>
      <c r="AS781" s="109"/>
      <c r="AT781" s="109"/>
      <c r="AU781" s="109"/>
      <c r="AV781" s="109"/>
      <c r="AW781" s="109"/>
      <c r="AX781" s="109"/>
      <c r="AY781" s="109"/>
      <c r="AZ781" s="109"/>
    </row>
    <row r="782" spans="20:52" x14ac:dyDescent="0.45">
      <c r="T782" s="109"/>
      <c r="U782" s="109"/>
      <c r="V782" s="109"/>
      <c r="W782" s="109"/>
      <c r="X782" s="109"/>
      <c r="Y782" s="109"/>
      <c r="Z782" s="109"/>
      <c r="AA782" s="109"/>
      <c r="AB782" s="109"/>
      <c r="AC782" s="109"/>
      <c r="AD782" s="109"/>
      <c r="AE782" s="109"/>
      <c r="AF782" s="109"/>
      <c r="AG782" s="109"/>
      <c r="AH782" s="109"/>
      <c r="AI782" s="109"/>
      <c r="AJ782" s="109"/>
      <c r="AK782" s="109"/>
      <c r="AL782" s="109"/>
      <c r="AM782" s="109"/>
      <c r="AN782" s="109"/>
      <c r="AO782" s="109"/>
      <c r="AP782" s="109"/>
      <c r="AQ782" s="109"/>
      <c r="AR782" s="109"/>
      <c r="AS782" s="109"/>
      <c r="AT782" s="109"/>
      <c r="AU782" s="109"/>
      <c r="AV782" s="109"/>
      <c r="AW782" s="109"/>
      <c r="AX782" s="109"/>
      <c r="AY782" s="109"/>
      <c r="AZ782" s="109"/>
    </row>
    <row r="783" spans="20:52" x14ac:dyDescent="0.45">
      <c r="T783" s="109"/>
      <c r="U783" s="109"/>
      <c r="V783" s="109"/>
      <c r="W783" s="109"/>
      <c r="X783" s="109"/>
      <c r="Y783" s="109"/>
      <c r="Z783" s="109"/>
      <c r="AA783" s="109"/>
      <c r="AB783" s="109"/>
      <c r="AC783" s="109"/>
      <c r="AD783" s="109"/>
      <c r="AE783" s="109"/>
      <c r="AF783" s="109"/>
      <c r="AG783" s="109"/>
      <c r="AH783" s="109"/>
      <c r="AI783" s="109"/>
      <c r="AJ783" s="109"/>
      <c r="AK783" s="109"/>
      <c r="AL783" s="109"/>
      <c r="AM783" s="109"/>
      <c r="AN783" s="109"/>
      <c r="AO783" s="109"/>
      <c r="AP783" s="109"/>
      <c r="AQ783" s="109"/>
      <c r="AR783" s="109"/>
      <c r="AS783" s="109"/>
      <c r="AT783" s="109"/>
      <c r="AU783" s="109"/>
      <c r="AV783" s="109"/>
      <c r="AW783" s="109"/>
      <c r="AX783" s="109"/>
      <c r="AY783" s="109"/>
      <c r="AZ783" s="109"/>
    </row>
    <row r="784" spans="20:52" x14ac:dyDescent="0.45">
      <c r="T784" s="109"/>
      <c r="U784" s="109"/>
      <c r="V784" s="109"/>
      <c r="W784" s="109"/>
      <c r="X784" s="109"/>
      <c r="Y784" s="109"/>
      <c r="Z784" s="109"/>
      <c r="AA784" s="109"/>
      <c r="AB784" s="109"/>
      <c r="AC784" s="109"/>
      <c r="AD784" s="109"/>
      <c r="AE784" s="109"/>
      <c r="AF784" s="109"/>
      <c r="AG784" s="109"/>
      <c r="AH784" s="109"/>
      <c r="AI784" s="109"/>
      <c r="AJ784" s="109"/>
      <c r="AK784" s="109"/>
      <c r="AL784" s="109"/>
      <c r="AM784" s="109"/>
      <c r="AN784" s="109"/>
      <c r="AO784" s="109"/>
      <c r="AP784" s="109"/>
      <c r="AQ784" s="109"/>
      <c r="AR784" s="109"/>
      <c r="AS784" s="109"/>
      <c r="AT784" s="109"/>
      <c r="AU784" s="109"/>
      <c r="AV784" s="109"/>
      <c r="AW784" s="109"/>
      <c r="AX784" s="109"/>
      <c r="AY784" s="109"/>
      <c r="AZ784" s="109"/>
    </row>
    <row r="785" spans="20:52" x14ac:dyDescent="0.45">
      <c r="T785" s="109"/>
      <c r="U785" s="109"/>
      <c r="V785" s="109"/>
      <c r="W785" s="109"/>
      <c r="X785" s="109"/>
      <c r="Y785" s="109"/>
      <c r="Z785" s="109"/>
      <c r="AA785" s="109"/>
      <c r="AB785" s="109"/>
      <c r="AC785" s="109"/>
      <c r="AD785" s="109"/>
      <c r="AE785" s="109"/>
      <c r="AF785" s="109"/>
      <c r="AG785" s="109"/>
      <c r="AH785" s="109"/>
      <c r="AI785" s="109"/>
      <c r="AJ785" s="109"/>
      <c r="AK785" s="109"/>
      <c r="AL785" s="109"/>
      <c r="AM785" s="109"/>
      <c r="AN785" s="109"/>
      <c r="AO785" s="109"/>
      <c r="AP785" s="109"/>
      <c r="AQ785" s="109"/>
      <c r="AR785" s="109"/>
      <c r="AS785" s="109"/>
      <c r="AT785" s="109"/>
      <c r="AU785" s="109"/>
      <c r="AV785" s="109"/>
      <c r="AW785" s="109"/>
      <c r="AX785" s="109"/>
      <c r="AY785" s="109"/>
      <c r="AZ785" s="109"/>
    </row>
    <row r="786" spans="20:52" x14ac:dyDescent="0.45">
      <c r="T786" s="109"/>
      <c r="U786" s="109"/>
      <c r="V786" s="109"/>
      <c r="W786" s="109"/>
      <c r="X786" s="109"/>
      <c r="Y786" s="109"/>
      <c r="Z786" s="109"/>
      <c r="AA786" s="109"/>
      <c r="AB786" s="109"/>
      <c r="AC786" s="109"/>
      <c r="AD786" s="109"/>
      <c r="AE786" s="109"/>
      <c r="AF786" s="109"/>
      <c r="AG786" s="109"/>
      <c r="AH786" s="109"/>
      <c r="AI786" s="109"/>
      <c r="AJ786" s="109"/>
      <c r="AK786" s="109"/>
      <c r="AL786" s="109"/>
      <c r="AM786" s="109"/>
      <c r="AN786" s="109"/>
      <c r="AO786" s="109"/>
      <c r="AP786" s="109"/>
      <c r="AQ786" s="109"/>
      <c r="AR786" s="109"/>
      <c r="AS786" s="109"/>
      <c r="AT786" s="109"/>
      <c r="AU786" s="109"/>
      <c r="AV786" s="109"/>
      <c r="AW786" s="109"/>
      <c r="AX786" s="109"/>
      <c r="AY786" s="109"/>
      <c r="AZ786" s="109"/>
    </row>
    <row r="787" spans="20:52" x14ac:dyDescent="0.45">
      <c r="T787" s="109"/>
      <c r="U787" s="109"/>
      <c r="V787" s="109"/>
      <c r="W787" s="109"/>
      <c r="X787" s="109"/>
      <c r="Y787" s="109"/>
      <c r="Z787" s="109"/>
      <c r="AA787" s="109"/>
      <c r="AB787" s="109"/>
      <c r="AC787" s="109"/>
      <c r="AD787" s="109"/>
      <c r="AE787" s="109"/>
      <c r="AF787" s="109"/>
      <c r="AG787" s="109"/>
      <c r="AH787" s="109"/>
      <c r="AI787" s="109"/>
      <c r="AJ787" s="109"/>
      <c r="AK787" s="109"/>
      <c r="AL787" s="109"/>
      <c r="AM787" s="109"/>
      <c r="AN787" s="109"/>
      <c r="AO787" s="109"/>
      <c r="AP787" s="109"/>
      <c r="AQ787" s="109"/>
      <c r="AR787" s="109"/>
      <c r="AS787" s="109"/>
      <c r="AT787" s="109"/>
      <c r="AU787" s="109"/>
      <c r="AV787" s="109"/>
      <c r="AW787" s="109"/>
      <c r="AX787" s="109"/>
      <c r="AY787" s="109"/>
      <c r="AZ787" s="109"/>
    </row>
    <row r="788" spans="20:52" x14ac:dyDescent="0.45">
      <c r="T788" s="109"/>
      <c r="U788" s="109"/>
      <c r="V788" s="109"/>
      <c r="W788" s="109"/>
      <c r="X788" s="109"/>
      <c r="Y788" s="109"/>
      <c r="Z788" s="109"/>
      <c r="AA788" s="109"/>
      <c r="AB788" s="109"/>
      <c r="AC788" s="109"/>
      <c r="AD788" s="109"/>
      <c r="AE788" s="109"/>
      <c r="AF788" s="109"/>
      <c r="AG788" s="109"/>
      <c r="AH788" s="109"/>
      <c r="AI788" s="109"/>
      <c r="AJ788" s="109"/>
      <c r="AK788" s="109"/>
      <c r="AL788" s="109"/>
      <c r="AM788" s="109"/>
      <c r="AN788" s="109"/>
      <c r="AO788" s="109"/>
      <c r="AP788" s="109"/>
      <c r="AQ788" s="109"/>
      <c r="AR788" s="109"/>
      <c r="AS788" s="109"/>
      <c r="AT788" s="109"/>
      <c r="AU788" s="109"/>
      <c r="AV788" s="109"/>
      <c r="AW788" s="109"/>
      <c r="AX788" s="109"/>
      <c r="AY788" s="109"/>
      <c r="AZ788" s="109"/>
    </row>
    <row r="789" spans="20:52" x14ac:dyDescent="0.45">
      <c r="T789" s="109"/>
      <c r="U789" s="109"/>
      <c r="V789" s="109"/>
      <c r="W789" s="109"/>
      <c r="X789" s="109"/>
      <c r="Y789" s="109"/>
      <c r="Z789" s="109"/>
      <c r="AA789" s="109"/>
      <c r="AB789" s="109"/>
      <c r="AC789" s="109"/>
      <c r="AD789" s="109"/>
      <c r="AE789" s="109"/>
      <c r="AF789" s="109"/>
      <c r="AG789" s="109"/>
      <c r="AH789" s="109"/>
      <c r="AI789" s="109"/>
      <c r="AJ789" s="109"/>
      <c r="AK789" s="109"/>
      <c r="AL789" s="109"/>
      <c r="AM789" s="109"/>
      <c r="AN789" s="109"/>
      <c r="AO789" s="109"/>
      <c r="AP789" s="109"/>
      <c r="AQ789" s="109"/>
      <c r="AR789" s="109"/>
      <c r="AS789" s="109"/>
      <c r="AT789" s="109"/>
      <c r="AU789" s="109"/>
      <c r="AV789" s="109"/>
      <c r="AW789" s="109"/>
      <c r="AX789" s="109"/>
      <c r="AY789" s="109"/>
      <c r="AZ789" s="109"/>
    </row>
    <row r="790" spans="20:52" x14ac:dyDescent="0.45">
      <c r="T790" s="109"/>
      <c r="U790" s="109"/>
      <c r="V790" s="109"/>
      <c r="W790" s="109"/>
      <c r="X790" s="109"/>
      <c r="Y790" s="109"/>
      <c r="Z790" s="109"/>
      <c r="AA790" s="109"/>
      <c r="AB790" s="109"/>
      <c r="AC790" s="109"/>
      <c r="AD790" s="109"/>
      <c r="AE790" s="109"/>
      <c r="AF790" s="109"/>
      <c r="AG790" s="109"/>
      <c r="AH790" s="109"/>
      <c r="AI790" s="109"/>
      <c r="AJ790" s="109"/>
      <c r="AK790" s="109"/>
      <c r="AL790" s="109"/>
      <c r="AM790" s="109"/>
      <c r="AN790" s="109"/>
      <c r="AO790" s="109"/>
      <c r="AP790" s="109"/>
      <c r="AQ790" s="109"/>
      <c r="AR790" s="109"/>
      <c r="AS790" s="109"/>
      <c r="AT790" s="109"/>
      <c r="AU790" s="109"/>
      <c r="AV790" s="109"/>
      <c r="AW790" s="109"/>
      <c r="AX790" s="109"/>
      <c r="AY790" s="109"/>
      <c r="AZ790" s="109"/>
    </row>
    <row r="791" spans="20:52" x14ac:dyDescent="0.45">
      <c r="T791" s="109"/>
      <c r="U791" s="109"/>
      <c r="V791" s="109"/>
      <c r="W791" s="109"/>
      <c r="X791" s="109"/>
      <c r="Y791" s="109"/>
      <c r="Z791" s="109"/>
      <c r="AA791" s="109"/>
      <c r="AB791" s="109"/>
      <c r="AC791" s="109"/>
      <c r="AD791" s="109"/>
      <c r="AE791" s="109"/>
      <c r="AF791" s="109"/>
      <c r="AG791" s="109"/>
      <c r="AH791" s="109"/>
      <c r="AI791" s="109"/>
      <c r="AJ791" s="109"/>
      <c r="AK791" s="109"/>
      <c r="AL791" s="109"/>
      <c r="AM791" s="109"/>
      <c r="AN791" s="109"/>
      <c r="AO791" s="109"/>
      <c r="AP791" s="109"/>
      <c r="AQ791" s="109"/>
      <c r="AR791" s="109"/>
      <c r="AS791" s="109"/>
      <c r="AT791" s="109"/>
      <c r="AU791" s="109"/>
      <c r="AV791" s="109"/>
      <c r="AW791" s="109"/>
      <c r="AX791" s="109"/>
      <c r="AY791" s="109"/>
      <c r="AZ791" s="109"/>
    </row>
    <row r="792" spans="20:52" x14ac:dyDescent="0.45">
      <c r="T792" s="109"/>
      <c r="U792" s="109"/>
      <c r="V792" s="109"/>
      <c r="W792" s="109"/>
      <c r="X792" s="109"/>
      <c r="Y792" s="109"/>
      <c r="Z792" s="109"/>
      <c r="AA792" s="109"/>
      <c r="AB792" s="109"/>
      <c r="AC792" s="109"/>
      <c r="AD792" s="109"/>
      <c r="AE792" s="109"/>
      <c r="AF792" s="109"/>
      <c r="AG792" s="109"/>
      <c r="AH792" s="109"/>
      <c r="AI792" s="109"/>
      <c r="AJ792" s="109"/>
      <c r="AK792" s="109"/>
      <c r="AL792" s="109"/>
      <c r="AM792" s="109"/>
      <c r="AN792" s="109"/>
      <c r="AO792" s="109"/>
      <c r="AP792" s="109"/>
      <c r="AQ792" s="109"/>
      <c r="AR792" s="109"/>
      <c r="AS792" s="109"/>
      <c r="AT792" s="109"/>
      <c r="AU792" s="109"/>
      <c r="AV792" s="109"/>
      <c r="AW792" s="109"/>
      <c r="AX792" s="109"/>
      <c r="AY792" s="109"/>
      <c r="AZ792" s="109"/>
    </row>
    <row r="793" spans="20:52" x14ac:dyDescent="0.45">
      <c r="T793" s="109"/>
      <c r="U793" s="109"/>
      <c r="V793" s="109"/>
      <c r="W793" s="109"/>
      <c r="X793" s="109"/>
      <c r="Y793" s="109"/>
      <c r="Z793" s="109"/>
      <c r="AA793" s="109"/>
      <c r="AB793" s="109"/>
      <c r="AC793" s="109"/>
      <c r="AD793" s="109"/>
      <c r="AE793" s="109"/>
      <c r="AF793" s="109"/>
      <c r="AG793" s="109"/>
      <c r="AH793" s="109"/>
      <c r="AI793" s="109"/>
      <c r="AJ793" s="109"/>
      <c r="AK793" s="109"/>
      <c r="AL793" s="109"/>
      <c r="AM793" s="109"/>
      <c r="AN793" s="109"/>
      <c r="AO793" s="109"/>
      <c r="AP793" s="109"/>
      <c r="AQ793" s="109"/>
      <c r="AR793" s="109"/>
      <c r="AS793" s="109"/>
      <c r="AT793" s="109"/>
      <c r="AU793" s="109"/>
      <c r="AV793" s="109"/>
      <c r="AW793" s="109"/>
      <c r="AX793" s="109"/>
      <c r="AY793" s="109"/>
      <c r="AZ793" s="109"/>
    </row>
    <row r="794" spans="20:52" x14ac:dyDescent="0.45">
      <c r="T794" s="109"/>
      <c r="U794" s="109"/>
      <c r="V794" s="109"/>
      <c r="W794" s="109"/>
      <c r="X794" s="109"/>
      <c r="Y794" s="109"/>
      <c r="Z794" s="109"/>
      <c r="AA794" s="109"/>
      <c r="AB794" s="109"/>
      <c r="AC794" s="109"/>
      <c r="AD794" s="109"/>
      <c r="AE794" s="109"/>
      <c r="AF794" s="109"/>
      <c r="AG794" s="109"/>
      <c r="AH794" s="109"/>
      <c r="AI794" s="109"/>
      <c r="AJ794" s="109"/>
      <c r="AK794" s="109"/>
      <c r="AL794" s="109"/>
      <c r="AM794" s="109"/>
      <c r="AN794" s="109"/>
      <c r="AO794" s="109"/>
      <c r="AP794" s="109"/>
      <c r="AQ794" s="109"/>
      <c r="AR794" s="109"/>
      <c r="AS794" s="109"/>
      <c r="AT794" s="109"/>
      <c r="AU794" s="109"/>
      <c r="AV794" s="109"/>
      <c r="AW794" s="109"/>
      <c r="AX794" s="109"/>
      <c r="AY794" s="109"/>
      <c r="AZ794" s="109"/>
    </row>
    <row r="795" spans="20:52" x14ac:dyDescent="0.45">
      <c r="T795" s="109"/>
      <c r="U795" s="109"/>
      <c r="V795" s="109"/>
      <c r="W795" s="109"/>
      <c r="X795" s="109"/>
      <c r="Y795" s="109"/>
      <c r="Z795" s="109"/>
      <c r="AA795" s="109"/>
      <c r="AB795" s="109"/>
      <c r="AC795" s="109"/>
      <c r="AD795" s="109"/>
      <c r="AE795" s="109"/>
      <c r="AF795" s="109"/>
      <c r="AG795" s="109"/>
      <c r="AH795" s="109"/>
      <c r="AI795" s="109"/>
      <c r="AJ795" s="109"/>
      <c r="AK795" s="109"/>
      <c r="AL795" s="109"/>
      <c r="AM795" s="109"/>
      <c r="AN795" s="109"/>
      <c r="AO795" s="109"/>
      <c r="AP795" s="109"/>
      <c r="AQ795" s="109"/>
      <c r="AR795" s="109"/>
      <c r="AS795" s="109"/>
      <c r="AT795" s="109"/>
      <c r="AU795" s="109"/>
      <c r="AV795" s="109"/>
      <c r="AW795" s="109"/>
      <c r="AX795" s="109"/>
      <c r="AY795" s="109"/>
      <c r="AZ795" s="109"/>
    </row>
    <row r="796" spans="20:52" x14ac:dyDescent="0.45">
      <c r="T796" s="109"/>
      <c r="U796" s="109"/>
      <c r="V796" s="109"/>
      <c r="W796" s="109"/>
      <c r="X796" s="109"/>
      <c r="Y796" s="109"/>
      <c r="Z796" s="109"/>
      <c r="AA796" s="109"/>
      <c r="AB796" s="109"/>
      <c r="AC796" s="109"/>
      <c r="AD796" s="109"/>
      <c r="AE796" s="109"/>
      <c r="AF796" s="109"/>
      <c r="AG796" s="109"/>
      <c r="AH796" s="109"/>
      <c r="AI796" s="109"/>
      <c r="AJ796" s="109"/>
      <c r="AK796" s="109"/>
      <c r="AL796" s="109"/>
      <c r="AM796" s="109"/>
      <c r="AN796" s="109"/>
      <c r="AO796" s="109"/>
      <c r="AP796" s="109"/>
      <c r="AQ796" s="109"/>
      <c r="AR796" s="109"/>
      <c r="AS796" s="109"/>
      <c r="AT796" s="109"/>
      <c r="AU796" s="109"/>
      <c r="AV796" s="109"/>
      <c r="AW796" s="109"/>
      <c r="AX796" s="109"/>
      <c r="AY796" s="109"/>
      <c r="AZ796" s="109"/>
    </row>
    <row r="797" spans="20:52" x14ac:dyDescent="0.45">
      <c r="T797" s="109"/>
      <c r="U797" s="109"/>
      <c r="V797" s="109"/>
      <c r="W797" s="109"/>
      <c r="X797" s="109"/>
      <c r="Y797" s="109"/>
      <c r="Z797" s="109"/>
      <c r="AA797" s="109"/>
      <c r="AB797" s="109"/>
      <c r="AC797" s="109"/>
      <c r="AD797" s="109"/>
      <c r="AE797" s="109"/>
      <c r="AF797" s="109"/>
      <c r="AG797" s="109"/>
      <c r="AH797" s="109"/>
      <c r="AI797" s="109"/>
      <c r="AJ797" s="109"/>
      <c r="AK797" s="109"/>
      <c r="AL797" s="109"/>
      <c r="AM797" s="109"/>
      <c r="AN797" s="109"/>
      <c r="AO797" s="109"/>
      <c r="AP797" s="109"/>
      <c r="AQ797" s="109"/>
      <c r="AR797" s="109"/>
      <c r="AS797" s="109"/>
      <c r="AT797" s="109"/>
      <c r="AU797" s="109"/>
      <c r="AV797" s="109"/>
      <c r="AW797" s="109"/>
      <c r="AX797" s="109"/>
      <c r="AY797" s="109"/>
      <c r="AZ797" s="109"/>
    </row>
    <row r="798" spans="20:52" x14ac:dyDescent="0.45">
      <c r="T798" s="109"/>
      <c r="U798" s="109"/>
      <c r="V798" s="109"/>
      <c r="W798" s="109"/>
      <c r="X798" s="109"/>
      <c r="Y798" s="109"/>
      <c r="Z798" s="109"/>
      <c r="AA798" s="109"/>
      <c r="AB798" s="109"/>
      <c r="AC798" s="109"/>
      <c r="AD798" s="109"/>
      <c r="AE798" s="109"/>
      <c r="AF798" s="109"/>
      <c r="AG798" s="109"/>
      <c r="AH798" s="109"/>
      <c r="AI798" s="109"/>
      <c r="AJ798" s="109"/>
      <c r="AK798" s="109"/>
      <c r="AL798" s="109"/>
      <c r="AM798" s="109"/>
      <c r="AN798" s="109"/>
      <c r="AO798" s="109"/>
      <c r="AP798" s="109"/>
      <c r="AQ798" s="109"/>
      <c r="AR798" s="109"/>
      <c r="AS798" s="109"/>
      <c r="AT798" s="109"/>
      <c r="AU798" s="109"/>
      <c r="AV798" s="109"/>
      <c r="AW798" s="109"/>
      <c r="AX798" s="109"/>
      <c r="AY798" s="109"/>
      <c r="AZ798" s="109"/>
    </row>
    <row r="799" spans="20:52" x14ac:dyDescent="0.45">
      <c r="T799" s="109"/>
      <c r="U799" s="109"/>
      <c r="V799" s="109"/>
      <c r="W799" s="109"/>
      <c r="X799" s="109"/>
      <c r="Y799" s="109"/>
      <c r="Z799" s="109"/>
      <c r="AA799" s="109"/>
      <c r="AB799" s="109"/>
      <c r="AC799" s="109"/>
      <c r="AD799" s="109"/>
      <c r="AE799" s="109"/>
      <c r="AF799" s="109"/>
      <c r="AG799" s="109"/>
      <c r="AH799" s="109"/>
      <c r="AI799" s="109"/>
      <c r="AJ799" s="109"/>
      <c r="AK799" s="109"/>
      <c r="AL799" s="109"/>
      <c r="AM799" s="109"/>
      <c r="AN799" s="109"/>
      <c r="AO799" s="109"/>
      <c r="AP799" s="109"/>
      <c r="AQ799" s="109"/>
      <c r="AR799" s="109"/>
      <c r="AS799" s="109"/>
      <c r="AT799" s="109"/>
      <c r="AU799" s="109"/>
      <c r="AV799" s="109"/>
      <c r="AW799" s="109"/>
      <c r="AX799" s="109"/>
      <c r="AY799" s="109"/>
      <c r="AZ799" s="109"/>
    </row>
    <row r="800" spans="20:52" x14ac:dyDescent="0.45">
      <c r="T800" s="109"/>
      <c r="U800" s="109"/>
      <c r="V800" s="109"/>
      <c r="W800" s="109"/>
      <c r="X800" s="109"/>
      <c r="Y800" s="109"/>
      <c r="Z800" s="109"/>
      <c r="AA800" s="109"/>
      <c r="AB800" s="109"/>
      <c r="AC800" s="109"/>
      <c r="AD800" s="109"/>
      <c r="AE800" s="109"/>
      <c r="AF800" s="109"/>
      <c r="AG800" s="109"/>
      <c r="AH800" s="109"/>
      <c r="AI800" s="109"/>
      <c r="AJ800" s="109"/>
      <c r="AK800" s="109"/>
      <c r="AL800" s="109"/>
      <c r="AM800" s="109"/>
      <c r="AN800" s="109"/>
      <c r="AO800" s="109"/>
      <c r="AP800" s="109"/>
      <c r="AQ800" s="109"/>
      <c r="AR800" s="109"/>
      <c r="AS800" s="109"/>
      <c r="AT800" s="109"/>
      <c r="AU800" s="109"/>
      <c r="AV800" s="109"/>
      <c r="AW800" s="109"/>
      <c r="AX800" s="109"/>
      <c r="AY800" s="109"/>
      <c r="AZ800" s="109"/>
    </row>
    <row r="801" spans="20:52" x14ac:dyDescent="0.45">
      <c r="T801" s="109"/>
      <c r="U801" s="109"/>
      <c r="V801" s="109"/>
      <c r="W801" s="109"/>
      <c r="X801" s="109"/>
      <c r="Y801" s="109"/>
      <c r="Z801" s="109"/>
      <c r="AA801" s="109"/>
      <c r="AB801" s="109"/>
      <c r="AC801" s="109"/>
      <c r="AD801" s="109"/>
      <c r="AE801" s="109"/>
      <c r="AF801" s="109"/>
      <c r="AG801" s="109"/>
      <c r="AH801" s="109"/>
      <c r="AI801" s="109"/>
      <c r="AJ801" s="109"/>
      <c r="AK801" s="109"/>
      <c r="AL801" s="109"/>
      <c r="AM801" s="109"/>
      <c r="AN801" s="109"/>
      <c r="AO801" s="109"/>
      <c r="AP801" s="109"/>
      <c r="AQ801" s="109"/>
      <c r="AR801" s="109"/>
      <c r="AS801" s="109"/>
      <c r="AT801" s="109"/>
      <c r="AU801" s="109"/>
      <c r="AV801" s="109"/>
      <c r="AW801" s="109"/>
      <c r="AX801" s="109"/>
      <c r="AY801" s="109"/>
      <c r="AZ801" s="109"/>
    </row>
    <row r="802" spans="20:52" x14ac:dyDescent="0.45">
      <c r="T802" s="109"/>
      <c r="U802" s="109"/>
      <c r="V802" s="109"/>
      <c r="W802" s="109"/>
      <c r="X802" s="109"/>
      <c r="Y802" s="109"/>
      <c r="Z802" s="109"/>
      <c r="AA802" s="109"/>
      <c r="AB802" s="109"/>
      <c r="AC802" s="109"/>
      <c r="AD802" s="109"/>
      <c r="AE802" s="109"/>
      <c r="AF802" s="109"/>
      <c r="AG802" s="109"/>
      <c r="AH802" s="109"/>
      <c r="AI802" s="109"/>
      <c r="AJ802" s="109"/>
      <c r="AK802" s="109"/>
      <c r="AL802" s="109"/>
      <c r="AM802" s="109"/>
      <c r="AN802" s="109"/>
      <c r="AO802" s="109"/>
      <c r="AP802" s="109"/>
      <c r="AQ802" s="109"/>
      <c r="AR802" s="109"/>
      <c r="AS802" s="109"/>
      <c r="AT802" s="109"/>
      <c r="AU802" s="109"/>
      <c r="AV802" s="109"/>
      <c r="AW802" s="109"/>
      <c r="AX802" s="109"/>
      <c r="AY802" s="109"/>
      <c r="AZ802" s="109"/>
    </row>
    <row r="803" spans="20:52" x14ac:dyDescent="0.45">
      <c r="T803" s="109"/>
      <c r="U803" s="109"/>
      <c r="V803" s="109"/>
      <c r="W803" s="109"/>
      <c r="X803" s="109"/>
      <c r="Y803" s="109"/>
      <c r="Z803" s="109"/>
      <c r="AA803" s="109"/>
      <c r="AB803" s="109"/>
      <c r="AC803" s="109"/>
      <c r="AD803" s="109"/>
      <c r="AE803" s="109"/>
      <c r="AF803" s="109"/>
      <c r="AG803" s="109"/>
      <c r="AH803" s="109"/>
      <c r="AI803" s="109"/>
      <c r="AJ803" s="109"/>
      <c r="AK803" s="109"/>
      <c r="AL803" s="109"/>
      <c r="AM803" s="109"/>
      <c r="AN803" s="109"/>
      <c r="AO803" s="109"/>
      <c r="AP803" s="109"/>
      <c r="AQ803" s="109"/>
      <c r="AR803" s="109"/>
      <c r="AS803" s="109"/>
      <c r="AT803" s="109"/>
      <c r="AU803" s="109"/>
      <c r="AV803" s="109"/>
      <c r="AW803" s="109"/>
      <c r="AX803" s="109"/>
      <c r="AY803" s="109"/>
      <c r="AZ803" s="109"/>
    </row>
    <row r="804" spans="20:52" x14ac:dyDescent="0.45">
      <c r="T804" s="109"/>
      <c r="U804" s="109"/>
      <c r="V804" s="109"/>
      <c r="W804" s="109"/>
      <c r="X804" s="109"/>
      <c r="Y804" s="109"/>
      <c r="Z804" s="109"/>
      <c r="AA804" s="109"/>
      <c r="AB804" s="109"/>
      <c r="AC804" s="109"/>
      <c r="AD804" s="109"/>
      <c r="AE804" s="109"/>
      <c r="AF804" s="109"/>
      <c r="AG804" s="109"/>
      <c r="AH804" s="109"/>
      <c r="AI804" s="109"/>
      <c r="AJ804" s="109"/>
      <c r="AK804" s="109"/>
      <c r="AL804" s="109"/>
      <c r="AM804" s="109"/>
      <c r="AN804" s="109"/>
      <c r="AO804" s="109"/>
      <c r="AP804" s="109"/>
      <c r="AQ804" s="109"/>
      <c r="AR804" s="109"/>
      <c r="AS804" s="109"/>
      <c r="AT804" s="109"/>
      <c r="AU804" s="109"/>
      <c r="AV804" s="109"/>
      <c r="AW804" s="109"/>
      <c r="AX804" s="109"/>
      <c r="AY804" s="109"/>
      <c r="AZ804" s="109"/>
    </row>
    <row r="805" spans="20:52" x14ac:dyDescent="0.45">
      <c r="T805" s="109"/>
      <c r="U805" s="109"/>
      <c r="V805" s="109"/>
      <c r="W805" s="109"/>
      <c r="X805" s="109"/>
      <c r="Y805" s="109"/>
      <c r="Z805" s="109"/>
      <c r="AA805" s="109"/>
      <c r="AB805" s="109"/>
      <c r="AC805" s="109"/>
      <c r="AD805" s="109"/>
      <c r="AE805" s="109"/>
      <c r="AF805" s="109"/>
      <c r="AG805" s="109"/>
      <c r="AH805" s="109"/>
      <c r="AI805" s="109"/>
      <c r="AJ805" s="109"/>
      <c r="AK805" s="109"/>
      <c r="AL805" s="109"/>
      <c r="AM805" s="109"/>
      <c r="AN805" s="109"/>
      <c r="AO805" s="109"/>
      <c r="AP805" s="109"/>
      <c r="AQ805" s="109"/>
      <c r="AR805" s="109"/>
      <c r="AS805" s="109"/>
      <c r="AT805" s="109"/>
      <c r="AU805" s="109"/>
      <c r="AV805" s="109"/>
      <c r="AW805" s="109"/>
      <c r="AX805" s="109"/>
      <c r="AY805" s="109"/>
      <c r="AZ805" s="109"/>
    </row>
    <row r="806" spans="20:52" x14ac:dyDescent="0.45">
      <c r="T806" s="109"/>
      <c r="U806" s="109"/>
      <c r="V806" s="109"/>
      <c r="W806" s="109"/>
      <c r="X806" s="109"/>
      <c r="Y806" s="109"/>
      <c r="Z806" s="109"/>
      <c r="AA806" s="109"/>
      <c r="AB806" s="109"/>
      <c r="AC806" s="109"/>
      <c r="AD806" s="109"/>
      <c r="AE806" s="109"/>
      <c r="AF806" s="109"/>
      <c r="AG806" s="109"/>
      <c r="AH806" s="109"/>
      <c r="AI806" s="109"/>
      <c r="AJ806" s="109"/>
      <c r="AK806" s="109"/>
      <c r="AL806" s="109"/>
      <c r="AM806" s="109"/>
      <c r="AN806" s="109"/>
      <c r="AO806" s="109"/>
      <c r="AP806" s="109"/>
      <c r="AQ806" s="109"/>
      <c r="AR806" s="109"/>
      <c r="AS806" s="109"/>
      <c r="AT806" s="109"/>
      <c r="AU806" s="109"/>
      <c r="AV806" s="109"/>
      <c r="AW806" s="109"/>
      <c r="AX806" s="109"/>
      <c r="AY806" s="109"/>
      <c r="AZ806" s="109"/>
    </row>
    <row r="807" spans="20:52" x14ac:dyDescent="0.45">
      <c r="T807" s="109"/>
      <c r="U807" s="109"/>
      <c r="V807" s="109"/>
      <c r="W807" s="109"/>
      <c r="X807" s="109"/>
      <c r="Y807" s="109"/>
      <c r="Z807" s="109"/>
      <c r="AA807" s="109"/>
      <c r="AB807" s="109"/>
      <c r="AC807" s="109"/>
      <c r="AD807" s="109"/>
      <c r="AE807" s="109"/>
      <c r="AF807" s="109"/>
      <c r="AG807" s="109"/>
      <c r="AH807" s="109"/>
      <c r="AI807" s="109"/>
      <c r="AJ807" s="109"/>
      <c r="AK807" s="109"/>
      <c r="AL807" s="109"/>
      <c r="AM807" s="109"/>
      <c r="AN807" s="109"/>
      <c r="AO807" s="109"/>
      <c r="AP807" s="109"/>
      <c r="AQ807" s="109"/>
      <c r="AR807" s="109"/>
      <c r="AS807" s="109"/>
      <c r="AT807" s="109"/>
      <c r="AU807" s="109"/>
      <c r="AV807" s="109"/>
      <c r="AW807" s="109"/>
      <c r="AX807" s="109"/>
      <c r="AY807" s="109"/>
      <c r="AZ807" s="109"/>
    </row>
    <row r="808" spans="20:52" x14ac:dyDescent="0.45">
      <c r="T808" s="109"/>
      <c r="U808" s="109"/>
      <c r="V808" s="109"/>
      <c r="W808" s="109"/>
      <c r="X808" s="109"/>
      <c r="Y808" s="109"/>
      <c r="Z808" s="109"/>
      <c r="AA808" s="109"/>
      <c r="AB808" s="109"/>
      <c r="AC808" s="109"/>
      <c r="AD808" s="109"/>
      <c r="AE808" s="109"/>
      <c r="AF808" s="109"/>
      <c r="AG808" s="109"/>
      <c r="AH808" s="109"/>
      <c r="AI808" s="109"/>
      <c r="AJ808" s="109"/>
      <c r="AK808" s="109"/>
      <c r="AL808" s="109"/>
      <c r="AM808" s="109"/>
      <c r="AN808" s="109"/>
      <c r="AO808" s="109"/>
      <c r="AP808" s="109"/>
      <c r="AQ808" s="109"/>
      <c r="AR808" s="109"/>
      <c r="AS808" s="109"/>
      <c r="AT808" s="109"/>
      <c r="AU808" s="109"/>
      <c r="AV808" s="109"/>
      <c r="AW808" s="109"/>
      <c r="AX808" s="109"/>
      <c r="AY808" s="109"/>
      <c r="AZ808" s="109"/>
    </row>
    <row r="809" spans="20:52" x14ac:dyDescent="0.45">
      <c r="T809" s="109"/>
      <c r="U809" s="109"/>
      <c r="V809" s="109"/>
      <c r="W809" s="109"/>
      <c r="X809" s="109"/>
      <c r="Y809" s="109"/>
      <c r="Z809" s="109"/>
      <c r="AA809" s="109"/>
      <c r="AB809" s="109"/>
      <c r="AC809" s="109"/>
      <c r="AD809" s="109"/>
      <c r="AE809" s="109"/>
      <c r="AF809" s="109"/>
      <c r="AG809" s="109"/>
      <c r="AH809" s="109"/>
      <c r="AI809" s="109"/>
      <c r="AJ809" s="109"/>
      <c r="AK809" s="109"/>
      <c r="AL809" s="109"/>
      <c r="AM809" s="109"/>
      <c r="AN809" s="109"/>
      <c r="AO809" s="109"/>
      <c r="AP809" s="109"/>
      <c r="AQ809" s="109"/>
      <c r="AR809" s="109"/>
      <c r="AS809" s="109"/>
      <c r="AT809" s="109"/>
      <c r="AU809" s="109"/>
      <c r="AV809" s="109"/>
      <c r="AW809" s="109"/>
      <c r="AX809" s="109"/>
      <c r="AY809" s="109"/>
      <c r="AZ809" s="109"/>
    </row>
    <row r="810" spans="20:52" x14ac:dyDescent="0.45">
      <c r="T810" s="109"/>
      <c r="U810" s="109"/>
      <c r="V810" s="109"/>
      <c r="W810" s="109"/>
      <c r="X810" s="109"/>
      <c r="Y810" s="109"/>
      <c r="Z810" s="109"/>
      <c r="AA810" s="109"/>
      <c r="AB810" s="109"/>
      <c r="AC810" s="109"/>
      <c r="AD810" s="109"/>
      <c r="AE810" s="109"/>
      <c r="AF810" s="109"/>
      <c r="AG810" s="109"/>
      <c r="AH810" s="109"/>
      <c r="AI810" s="109"/>
      <c r="AJ810" s="109"/>
      <c r="AK810" s="109"/>
      <c r="AL810" s="109"/>
      <c r="AM810" s="109"/>
      <c r="AN810" s="109"/>
      <c r="AO810" s="109"/>
      <c r="AP810" s="109"/>
      <c r="AQ810" s="109"/>
      <c r="AR810" s="109"/>
      <c r="AS810" s="109"/>
      <c r="AT810" s="109"/>
      <c r="AU810" s="109"/>
      <c r="AV810" s="109"/>
      <c r="AW810" s="109"/>
      <c r="AX810" s="109"/>
      <c r="AY810" s="109"/>
      <c r="AZ810" s="109"/>
    </row>
    <row r="811" spans="20:52" x14ac:dyDescent="0.45">
      <c r="T811" s="109"/>
      <c r="U811" s="109"/>
      <c r="V811" s="109"/>
      <c r="W811" s="109"/>
      <c r="X811" s="109"/>
      <c r="Y811" s="109"/>
      <c r="Z811" s="109"/>
      <c r="AA811" s="109"/>
      <c r="AB811" s="109"/>
      <c r="AC811" s="109"/>
      <c r="AD811" s="109"/>
      <c r="AE811" s="109"/>
      <c r="AF811" s="109"/>
      <c r="AG811" s="109"/>
      <c r="AH811" s="109"/>
      <c r="AI811" s="109"/>
      <c r="AJ811" s="109"/>
      <c r="AK811" s="109"/>
      <c r="AL811" s="109"/>
      <c r="AM811" s="109"/>
      <c r="AN811" s="109"/>
      <c r="AO811" s="109"/>
      <c r="AP811" s="109"/>
      <c r="AQ811" s="109"/>
      <c r="AR811" s="109"/>
      <c r="AS811" s="109"/>
      <c r="AT811" s="109"/>
      <c r="AU811" s="109"/>
      <c r="AV811" s="109"/>
      <c r="AW811" s="109"/>
      <c r="AX811" s="109"/>
      <c r="AY811" s="109"/>
      <c r="AZ811" s="109"/>
    </row>
    <row r="812" spans="20:52" x14ac:dyDescent="0.45">
      <c r="T812" s="109"/>
      <c r="U812" s="109"/>
      <c r="V812" s="109"/>
      <c r="W812" s="109"/>
      <c r="X812" s="109"/>
      <c r="Y812" s="109"/>
      <c r="Z812" s="109"/>
      <c r="AA812" s="109"/>
      <c r="AB812" s="109"/>
      <c r="AC812" s="109"/>
      <c r="AD812" s="109"/>
      <c r="AE812" s="109"/>
      <c r="AF812" s="109"/>
      <c r="AG812" s="109"/>
      <c r="AH812" s="109"/>
      <c r="AI812" s="109"/>
      <c r="AJ812" s="109"/>
      <c r="AK812" s="109"/>
      <c r="AL812" s="109"/>
      <c r="AM812" s="109"/>
      <c r="AN812" s="109"/>
      <c r="AO812" s="109"/>
      <c r="AP812" s="109"/>
      <c r="AQ812" s="109"/>
      <c r="AR812" s="109"/>
      <c r="AS812" s="109"/>
      <c r="AT812" s="109"/>
      <c r="AU812" s="109"/>
      <c r="AV812" s="109"/>
      <c r="AW812" s="109"/>
      <c r="AX812" s="109"/>
      <c r="AY812" s="109"/>
      <c r="AZ812" s="109"/>
    </row>
    <row r="813" spans="20:52" x14ac:dyDescent="0.45">
      <c r="T813" s="109"/>
      <c r="U813" s="109"/>
      <c r="V813" s="109"/>
      <c r="W813" s="109"/>
      <c r="X813" s="109"/>
      <c r="Y813" s="109"/>
      <c r="Z813" s="109"/>
      <c r="AA813" s="109"/>
      <c r="AB813" s="109"/>
      <c r="AC813" s="109"/>
      <c r="AD813" s="109"/>
      <c r="AE813" s="109"/>
      <c r="AF813" s="109"/>
      <c r="AG813" s="109"/>
      <c r="AH813" s="109"/>
      <c r="AI813" s="109"/>
      <c r="AJ813" s="109"/>
      <c r="AK813" s="109"/>
      <c r="AL813" s="109"/>
      <c r="AM813" s="109"/>
      <c r="AN813" s="109"/>
      <c r="AO813" s="109"/>
      <c r="AP813" s="109"/>
      <c r="AQ813" s="109"/>
      <c r="AR813" s="109"/>
      <c r="AS813" s="109"/>
      <c r="AT813" s="109"/>
      <c r="AU813" s="109"/>
      <c r="AV813" s="109"/>
      <c r="AW813" s="109"/>
      <c r="AX813" s="109"/>
      <c r="AY813" s="109"/>
      <c r="AZ813" s="109"/>
    </row>
    <row r="814" spans="20:52" x14ac:dyDescent="0.45">
      <c r="T814" s="109"/>
      <c r="U814" s="109"/>
      <c r="V814" s="109"/>
      <c r="W814" s="109"/>
      <c r="X814" s="109"/>
      <c r="Y814" s="109"/>
      <c r="Z814" s="109"/>
      <c r="AA814" s="109"/>
      <c r="AB814" s="109"/>
      <c r="AC814" s="109"/>
      <c r="AD814" s="109"/>
      <c r="AE814" s="109"/>
      <c r="AF814" s="109"/>
      <c r="AG814" s="109"/>
      <c r="AH814" s="109"/>
      <c r="AI814" s="109"/>
      <c r="AJ814" s="109"/>
      <c r="AK814" s="109"/>
      <c r="AL814" s="109"/>
      <c r="AM814" s="109"/>
      <c r="AN814" s="109"/>
      <c r="AO814" s="109"/>
      <c r="AP814" s="109"/>
      <c r="AQ814" s="109"/>
      <c r="AR814" s="109"/>
      <c r="AS814" s="109"/>
      <c r="AT814" s="109"/>
      <c r="AU814" s="109"/>
      <c r="AV814" s="109"/>
      <c r="AW814" s="109"/>
      <c r="AX814" s="109"/>
      <c r="AY814" s="109"/>
      <c r="AZ814" s="109"/>
    </row>
    <row r="815" spans="20:52" x14ac:dyDescent="0.45">
      <c r="T815" s="109"/>
      <c r="U815" s="109"/>
      <c r="V815" s="109"/>
      <c r="W815" s="109"/>
      <c r="X815" s="109"/>
      <c r="Y815" s="109"/>
      <c r="Z815" s="109"/>
      <c r="AA815" s="109"/>
      <c r="AB815" s="109"/>
      <c r="AC815" s="109"/>
      <c r="AD815" s="109"/>
      <c r="AE815" s="109"/>
      <c r="AF815" s="109"/>
      <c r="AG815" s="109"/>
      <c r="AH815" s="109"/>
      <c r="AI815" s="109"/>
      <c r="AJ815" s="109"/>
      <c r="AK815" s="109"/>
      <c r="AL815" s="109"/>
      <c r="AM815" s="109"/>
      <c r="AN815" s="109"/>
      <c r="AO815" s="109"/>
      <c r="AP815" s="109"/>
      <c r="AQ815" s="109"/>
      <c r="AR815" s="109"/>
      <c r="AS815" s="109"/>
      <c r="AT815" s="109"/>
      <c r="AU815" s="109"/>
      <c r="AV815" s="109"/>
      <c r="AW815" s="109"/>
      <c r="AX815" s="109"/>
      <c r="AY815" s="109"/>
      <c r="AZ815" s="109"/>
    </row>
    <row r="816" spans="20:52" x14ac:dyDescent="0.45">
      <c r="T816" s="109"/>
      <c r="U816" s="109"/>
      <c r="V816" s="109"/>
      <c r="W816" s="109"/>
      <c r="X816" s="109"/>
      <c r="Y816" s="109"/>
      <c r="Z816" s="109"/>
      <c r="AA816" s="109"/>
      <c r="AB816" s="109"/>
      <c r="AC816" s="109"/>
      <c r="AD816" s="109"/>
      <c r="AE816" s="109"/>
      <c r="AF816" s="109"/>
      <c r="AG816" s="109"/>
      <c r="AH816" s="109"/>
      <c r="AI816" s="109"/>
      <c r="AJ816" s="109"/>
      <c r="AK816" s="109"/>
      <c r="AL816" s="109"/>
      <c r="AM816" s="109"/>
      <c r="AN816" s="109"/>
      <c r="AO816" s="109"/>
      <c r="AP816" s="109"/>
      <c r="AQ816" s="109"/>
      <c r="AR816" s="109"/>
      <c r="AS816" s="109"/>
      <c r="AT816" s="109"/>
      <c r="AU816" s="109"/>
      <c r="AV816" s="109"/>
      <c r="AW816" s="109"/>
      <c r="AX816" s="109"/>
      <c r="AY816" s="109"/>
      <c r="AZ816" s="109"/>
    </row>
    <row r="817" spans="20:52" x14ac:dyDescent="0.45">
      <c r="T817" s="109"/>
      <c r="U817" s="109"/>
      <c r="V817" s="109"/>
      <c r="W817" s="109"/>
      <c r="X817" s="109"/>
      <c r="Y817" s="109"/>
      <c r="Z817" s="109"/>
      <c r="AA817" s="109"/>
      <c r="AB817" s="109"/>
      <c r="AC817" s="109"/>
      <c r="AD817" s="109"/>
      <c r="AE817" s="109"/>
      <c r="AF817" s="109"/>
      <c r="AG817" s="109"/>
      <c r="AH817" s="109"/>
      <c r="AI817" s="109"/>
      <c r="AJ817" s="109"/>
      <c r="AK817" s="109"/>
      <c r="AL817" s="109"/>
      <c r="AM817" s="109"/>
      <c r="AN817" s="109"/>
      <c r="AO817" s="109"/>
      <c r="AP817" s="109"/>
      <c r="AQ817" s="109"/>
      <c r="AR817" s="109"/>
      <c r="AS817" s="109"/>
      <c r="AT817" s="109"/>
      <c r="AU817" s="109"/>
      <c r="AV817" s="109"/>
      <c r="AW817" s="109"/>
      <c r="AX817" s="109"/>
      <c r="AY817" s="109"/>
      <c r="AZ817" s="109"/>
    </row>
    <row r="818" spans="20:52" x14ac:dyDescent="0.45">
      <c r="T818" s="109"/>
      <c r="U818" s="109"/>
      <c r="V818" s="109"/>
      <c r="W818" s="109"/>
      <c r="X818" s="109"/>
      <c r="Y818" s="109"/>
      <c r="Z818" s="109"/>
      <c r="AA818" s="109"/>
      <c r="AB818" s="109"/>
      <c r="AC818" s="109"/>
      <c r="AD818" s="109"/>
      <c r="AE818" s="109"/>
      <c r="AF818" s="109"/>
      <c r="AG818" s="109"/>
      <c r="AH818" s="109"/>
      <c r="AI818" s="109"/>
      <c r="AJ818" s="109"/>
      <c r="AK818" s="109"/>
      <c r="AL818" s="109"/>
      <c r="AM818" s="109"/>
      <c r="AN818" s="109"/>
      <c r="AO818" s="109"/>
      <c r="AP818" s="109"/>
      <c r="AQ818" s="109"/>
      <c r="AR818" s="109"/>
      <c r="AS818" s="109"/>
      <c r="AT818" s="109"/>
      <c r="AU818" s="109"/>
      <c r="AV818" s="109"/>
      <c r="AW818" s="109"/>
      <c r="AX818" s="109"/>
      <c r="AY818" s="109"/>
      <c r="AZ818" s="109"/>
    </row>
    <row r="819" spans="20:52" x14ac:dyDescent="0.45">
      <c r="T819" s="109"/>
      <c r="U819" s="109"/>
      <c r="V819" s="109"/>
      <c r="W819" s="109"/>
      <c r="X819" s="109"/>
      <c r="Y819" s="109"/>
      <c r="Z819" s="109"/>
      <c r="AA819" s="109"/>
      <c r="AB819" s="109"/>
      <c r="AC819" s="109"/>
      <c r="AD819" s="109"/>
      <c r="AE819" s="109"/>
      <c r="AF819" s="109"/>
      <c r="AG819" s="109"/>
      <c r="AH819" s="109"/>
      <c r="AI819" s="109"/>
      <c r="AJ819" s="109"/>
      <c r="AK819" s="109"/>
      <c r="AL819" s="109"/>
      <c r="AM819" s="109"/>
      <c r="AN819" s="109"/>
      <c r="AO819" s="109"/>
      <c r="AP819" s="109"/>
      <c r="AQ819" s="109"/>
      <c r="AR819" s="109"/>
      <c r="AS819" s="109"/>
      <c r="AT819" s="109"/>
      <c r="AU819" s="109"/>
      <c r="AV819" s="109"/>
      <c r="AW819" s="109"/>
      <c r="AX819" s="109"/>
      <c r="AY819" s="109"/>
      <c r="AZ819" s="109"/>
    </row>
    <row r="820" spans="20:52" x14ac:dyDescent="0.45">
      <c r="T820" s="109"/>
      <c r="U820" s="109"/>
      <c r="V820" s="109"/>
      <c r="W820" s="109"/>
      <c r="X820" s="109"/>
      <c r="Y820" s="109"/>
      <c r="Z820" s="109"/>
      <c r="AA820" s="109"/>
      <c r="AB820" s="109"/>
      <c r="AC820" s="109"/>
      <c r="AD820" s="109"/>
      <c r="AE820" s="109"/>
      <c r="AF820" s="109"/>
      <c r="AG820" s="109"/>
      <c r="AH820" s="109"/>
      <c r="AI820" s="109"/>
      <c r="AJ820" s="109"/>
      <c r="AK820" s="109"/>
      <c r="AL820" s="109"/>
      <c r="AM820" s="109"/>
      <c r="AN820" s="109"/>
      <c r="AO820" s="109"/>
      <c r="AP820" s="109"/>
      <c r="AQ820" s="109"/>
      <c r="AR820" s="109"/>
      <c r="AS820" s="109"/>
      <c r="AT820" s="109"/>
      <c r="AU820" s="109"/>
      <c r="AV820" s="109"/>
      <c r="AW820" s="109"/>
      <c r="AX820" s="109"/>
      <c r="AY820" s="109"/>
      <c r="AZ820" s="109"/>
    </row>
    <row r="821" spans="20:52" x14ac:dyDescent="0.45">
      <c r="T821" s="109"/>
      <c r="U821" s="109"/>
      <c r="V821" s="109"/>
      <c r="W821" s="109"/>
      <c r="X821" s="109"/>
      <c r="Y821" s="109"/>
      <c r="Z821" s="109"/>
      <c r="AA821" s="109"/>
      <c r="AB821" s="109"/>
      <c r="AC821" s="109"/>
      <c r="AD821" s="109"/>
      <c r="AE821" s="109"/>
      <c r="AF821" s="109"/>
      <c r="AG821" s="109"/>
      <c r="AH821" s="109"/>
      <c r="AI821" s="109"/>
      <c r="AJ821" s="109"/>
      <c r="AK821" s="109"/>
      <c r="AL821" s="109"/>
      <c r="AM821" s="109"/>
      <c r="AN821" s="109"/>
      <c r="AO821" s="109"/>
      <c r="AP821" s="109"/>
      <c r="AQ821" s="109"/>
      <c r="AR821" s="109"/>
      <c r="AS821" s="109"/>
      <c r="AT821" s="109"/>
      <c r="AU821" s="109"/>
      <c r="AV821" s="109"/>
      <c r="AW821" s="109"/>
      <c r="AX821" s="109"/>
      <c r="AY821" s="109"/>
      <c r="AZ821" s="109"/>
    </row>
    <row r="822" spans="20:52" x14ac:dyDescent="0.45">
      <c r="T822" s="109"/>
      <c r="U822" s="109"/>
      <c r="V822" s="109"/>
      <c r="W822" s="109"/>
      <c r="X822" s="109"/>
      <c r="Y822" s="109"/>
      <c r="Z822" s="109"/>
      <c r="AA822" s="109"/>
      <c r="AB822" s="109"/>
      <c r="AC822" s="109"/>
      <c r="AD822" s="109"/>
      <c r="AE822" s="109"/>
      <c r="AF822" s="109"/>
      <c r="AG822" s="109"/>
      <c r="AH822" s="109"/>
      <c r="AI822" s="109"/>
      <c r="AJ822" s="109"/>
      <c r="AK822" s="109"/>
      <c r="AL822" s="109"/>
      <c r="AM822" s="109"/>
      <c r="AN822" s="109"/>
      <c r="AO822" s="109"/>
      <c r="AP822" s="109"/>
      <c r="AQ822" s="109"/>
      <c r="AR822" s="109"/>
      <c r="AS822" s="109"/>
      <c r="AT822" s="109"/>
      <c r="AU822" s="109"/>
      <c r="AV822" s="109"/>
      <c r="AW822" s="109"/>
      <c r="AX822" s="109"/>
      <c r="AY822" s="109"/>
      <c r="AZ822" s="109"/>
    </row>
    <row r="823" spans="20:52" x14ac:dyDescent="0.45">
      <c r="T823" s="109"/>
      <c r="U823" s="109"/>
      <c r="V823" s="109"/>
      <c r="W823" s="109"/>
      <c r="X823" s="109"/>
      <c r="Y823" s="109"/>
      <c r="Z823" s="109"/>
      <c r="AA823" s="109"/>
      <c r="AB823" s="109"/>
      <c r="AC823" s="109"/>
      <c r="AD823" s="109"/>
      <c r="AE823" s="109"/>
      <c r="AF823" s="109"/>
      <c r="AG823" s="109"/>
      <c r="AH823" s="109"/>
      <c r="AI823" s="109"/>
      <c r="AJ823" s="109"/>
      <c r="AK823" s="109"/>
      <c r="AL823" s="109"/>
      <c r="AM823" s="109"/>
      <c r="AN823" s="109"/>
      <c r="AO823" s="109"/>
      <c r="AP823" s="109"/>
      <c r="AQ823" s="109"/>
      <c r="AR823" s="109"/>
      <c r="AS823" s="109"/>
      <c r="AT823" s="109"/>
      <c r="AU823" s="109"/>
      <c r="AV823" s="109"/>
      <c r="AW823" s="109"/>
      <c r="AX823" s="109"/>
      <c r="AY823" s="109"/>
      <c r="AZ823" s="109"/>
    </row>
    <row r="824" spans="20:52" x14ac:dyDescent="0.45">
      <c r="T824" s="109"/>
      <c r="U824" s="109"/>
      <c r="V824" s="109"/>
      <c r="W824" s="109"/>
      <c r="X824" s="109"/>
      <c r="Y824" s="109"/>
      <c r="Z824" s="109"/>
      <c r="AA824" s="109"/>
      <c r="AB824" s="109"/>
      <c r="AC824" s="109"/>
      <c r="AD824" s="109"/>
      <c r="AE824" s="109"/>
      <c r="AF824" s="109"/>
      <c r="AG824" s="109"/>
      <c r="AH824" s="109"/>
      <c r="AI824" s="109"/>
      <c r="AJ824" s="109"/>
      <c r="AK824" s="109"/>
      <c r="AL824" s="109"/>
      <c r="AM824" s="109"/>
      <c r="AN824" s="109"/>
      <c r="AO824" s="109"/>
      <c r="AP824" s="109"/>
      <c r="AQ824" s="109"/>
      <c r="AR824" s="109"/>
      <c r="AS824" s="109"/>
      <c r="AT824" s="109"/>
      <c r="AU824" s="109"/>
      <c r="AV824" s="109"/>
      <c r="AW824" s="109"/>
      <c r="AX824" s="109"/>
      <c r="AY824" s="109"/>
      <c r="AZ824" s="109"/>
    </row>
    <row r="825" spans="20:52" x14ac:dyDescent="0.45">
      <c r="T825" s="109"/>
      <c r="U825" s="109"/>
      <c r="V825" s="109"/>
      <c r="W825" s="109"/>
      <c r="X825" s="109"/>
      <c r="Y825" s="109"/>
      <c r="Z825" s="109"/>
      <c r="AA825" s="109"/>
      <c r="AB825" s="109"/>
      <c r="AC825" s="109"/>
      <c r="AD825" s="109"/>
      <c r="AE825" s="109"/>
      <c r="AF825" s="109"/>
      <c r="AG825" s="109"/>
      <c r="AH825" s="109"/>
      <c r="AI825" s="109"/>
      <c r="AJ825" s="109"/>
      <c r="AK825" s="109"/>
      <c r="AL825" s="109"/>
      <c r="AM825" s="109"/>
      <c r="AN825" s="109"/>
      <c r="AO825" s="109"/>
      <c r="AP825" s="109"/>
      <c r="AQ825" s="109"/>
      <c r="AR825" s="109"/>
      <c r="AS825" s="109"/>
      <c r="AT825" s="109"/>
      <c r="AU825" s="109"/>
      <c r="AV825" s="109"/>
      <c r="AW825" s="109"/>
      <c r="AX825" s="109"/>
      <c r="AY825" s="109"/>
      <c r="AZ825" s="109"/>
    </row>
    <row r="826" spans="20:52" x14ac:dyDescent="0.45">
      <c r="T826" s="109"/>
      <c r="U826" s="109"/>
      <c r="V826" s="109"/>
      <c r="W826" s="109"/>
      <c r="X826" s="109"/>
      <c r="Y826" s="109"/>
      <c r="Z826" s="109"/>
      <c r="AA826" s="109"/>
      <c r="AB826" s="109"/>
      <c r="AC826" s="109"/>
      <c r="AD826" s="109"/>
      <c r="AE826" s="109"/>
      <c r="AF826" s="109"/>
      <c r="AG826" s="109"/>
      <c r="AH826" s="109"/>
      <c r="AI826" s="109"/>
      <c r="AJ826" s="109"/>
      <c r="AK826" s="109"/>
      <c r="AL826" s="109"/>
      <c r="AM826" s="109"/>
      <c r="AN826" s="109"/>
      <c r="AO826" s="109"/>
      <c r="AP826" s="109"/>
      <c r="AQ826" s="109"/>
      <c r="AR826" s="109"/>
      <c r="AS826" s="109"/>
      <c r="AT826" s="109"/>
      <c r="AU826" s="109"/>
      <c r="AV826" s="109"/>
      <c r="AW826" s="109"/>
      <c r="AX826" s="109"/>
      <c r="AY826" s="109"/>
      <c r="AZ826" s="109"/>
    </row>
    <row r="827" spans="20:52" x14ac:dyDescent="0.45">
      <c r="T827" s="109"/>
      <c r="U827" s="109"/>
      <c r="V827" s="109"/>
      <c r="W827" s="109"/>
      <c r="X827" s="109"/>
      <c r="Y827" s="109"/>
      <c r="Z827" s="109"/>
      <c r="AA827" s="109"/>
      <c r="AB827" s="109"/>
      <c r="AC827" s="109"/>
      <c r="AD827" s="109"/>
      <c r="AE827" s="109"/>
      <c r="AF827" s="109"/>
      <c r="AG827" s="109"/>
      <c r="AH827" s="109"/>
      <c r="AI827" s="109"/>
      <c r="AJ827" s="109"/>
      <c r="AK827" s="109"/>
      <c r="AL827" s="109"/>
      <c r="AM827" s="109"/>
      <c r="AN827" s="109"/>
      <c r="AO827" s="109"/>
      <c r="AP827" s="109"/>
      <c r="AQ827" s="109"/>
      <c r="AR827" s="109"/>
      <c r="AS827" s="109"/>
      <c r="AT827" s="109"/>
      <c r="AU827" s="109"/>
      <c r="AV827" s="109"/>
      <c r="AW827" s="109"/>
      <c r="AX827" s="109"/>
      <c r="AY827" s="109"/>
      <c r="AZ827" s="109"/>
    </row>
    <row r="828" spans="20:52" x14ac:dyDescent="0.45">
      <c r="T828" s="109"/>
      <c r="U828" s="109"/>
      <c r="V828" s="109"/>
      <c r="W828" s="109"/>
      <c r="X828" s="109"/>
      <c r="Y828" s="109"/>
      <c r="Z828" s="109"/>
      <c r="AA828" s="109"/>
      <c r="AB828" s="109"/>
      <c r="AC828" s="109"/>
      <c r="AD828" s="109"/>
      <c r="AE828" s="109"/>
      <c r="AF828" s="109"/>
      <c r="AG828" s="109"/>
      <c r="AH828" s="109"/>
      <c r="AI828" s="109"/>
      <c r="AJ828" s="109"/>
      <c r="AK828" s="109"/>
      <c r="AL828" s="109"/>
      <c r="AM828" s="109"/>
      <c r="AN828" s="109"/>
      <c r="AO828" s="109"/>
      <c r="AP828" s="109"/>
      <c r="AQ828" s="109"/>
      <c r="AR828" s="109"/>
      <c r="AS828" s="109"/>
      <c r="AT828" s="109"/>
      <c r="AU828" s="109"/>
      <c r="AV828" s="109"/>
      <c r="AW828" s="109"/>
      <c r="AX828" s="109"/>
      <c r="AY828" s="109"/>
      <c r="AZ828" s="109"/>
    </row>
    <row r="829" spans="20:52" x14ac:dyDescent="0.45">
      <c r="T829" s="109"/>
      <c r="U829" s="109"/>
      <c r="V829" s="109"/>
      <c r="W829" s="109"/>
      <c r="X829" s="109"/>
      <c r="Y829" s="109"/>
      <c r="Z829" s="109"/>
      <c r="AA829" s="109"/>
      <c r="AB829" s="109"/>
      <c r="AC829" s="109"/>
      <c r="AD829" s="109"/>
      <c r="AE829" s="109"/>
      <c r="AF829" s="109"/>
      <c r="AG829" s="109"/>
      <c r="AH829" s="109"/>
      <c r="AI829" s="109"/>
      <c r="AJ829" s="109"/>
      <c r="AK829" s="109"/>
      <c r="AL829" s="109"/>
      <c r="AM829" s="109"/>
      <c r="AN829" s="109"/>
      <c r="AO829" s="109"/>
      <c r="AP829" s="109"/>
      <c r="AQ829" s="109"/>
      <c r="AR829" s="109"/>
      <c r="AS829" s="109"/>
      <c r="AT829" s="109"/>
      <c r="AU829" s="109"/>
      <c r="AV829" s="109"/>
      <c r="AW829" s="109"/>
      <c r="AX829" s="109"/>
      <c r="AY829" s="109"/>
      <c r="AZ829" s="109"/>
    </row>
    <row r="830" spans="20:52" x14ac:dyDescent="0.45">
      <c r="T830" s="109"/>
      <c r="U830" s="109"/>
      <c r="V830" s="109"/>
      <c r="W830" s="109"/>
      <c r="X830" s="109"/>
      <c r="Y830" s="109"/>
      <c r="Z830" s="109"/>
      <c r="AA830" s="109"/>
      <c r="AB830" s="109"/>
      <c r="AC830" s="109"/>
      <c r="AD830" s="109"/>
      <c r="AE830" s="109"/>
      <c r="AF830" s="109"/>
      <c r="AG830" s="109"/>
      <c r="AH830" s="109"/>
      <c r="AI830" s="109"/>
      <c r="AJ830" s="109"/>
      <c r="AK830" s="109"/>
      <c r="AL830" s="109"/>
      <c r="AM830" s="109"/>
      <c r="AN830" s="109"/>
      <c r="AO830" s="109"/>
      <c r="AP830" s="109"/>
      <c r="AQ830" s="109"/>
      <c r="AR830" s="109"/>
      <c r="AS830" s="109"/>
      <c r="AT830" s="109"/>
      <c r="AU830" s="109"/>
      <c r="AV830" s="109"/>
      <c r="AW830" s="109"/>
      <c r="AX830" s="109"/>
      <c r="AY830" s="109"/>
      <c r="AZ830" s="109"/>
    </row>
    <row r="831" spans="20:52" x14ac:dyDescent="0.45">
      <c r="T831" s="109"/>
      <c r="U831" s="109"/>
      <c r="V831" s="109"/>
      <c r="W831" s="109"/>
      <c r="X831" s="109"/>
      <c r="Y831" s="109"/>
      <c r="Z831" s="109"/>
      <c r="AA831" s="109"/>
      <c r="AB831" s="109"/>
      <c r="AC831" s="109"/>
      <c r="AD831" s="109"/>
      <c r="AE831" s="109"/>
      <c r="AF831" s="109"/>
      <c r="AG831" s="109"/>
      <c r="AH831" s="109"/>
      <c r="AI831" s="109"/>
      <c r="AJ831" s="109"/>
      <c r="AK831" s="109"/>
      <c r="AL831" s="109"/>
      <c r="AM831" s="109"/>
      <c r="AN831" s="109"/>
      <c r="AO831" s="109"/>
      <c r="AP831" s="109"/>
      <c r="AQ831" s="109"/>
      <c r="AR831" s="109"/>
      <c r="AS831" s="109"/>
      <c r="AT831" s="109"/>
      <c r="AU831" s="109"/>
      <c r="AV831" s="109"/>
      <c r="AW831" s="109"/>
      <c r="AX831" s="109"/>
      <c r="AY831" s="109"/>
      <c r="AZ831" s="109"/>
    </row>
    <row r="832" spans="20:52" x14ac:dyDescent="0.45">
      <c r="T832" s="109"/>
      <c r="U832" s="109"/>
      <c r="V832" s="109"/>
      <c r="W832" s="109"/>
      <c r="X832" s="109"/>
      <c r="Y832" s="109"/>
      <c r="Z832" s="109"/>
      <c r="AA832" s="109"/>
      <c r="AB832" s="109"/>
      <c r="AC832" s="109"/>
      <c r="AD832" s="109"/>
      <c r="AE832" s="109"/>
      <c r="AF832" s="109"/>
      <c r="AG832" s="109"/>
      <c r="AH832" s="109"/>
      <c r="AI832" s="109"/>
      <c r="AJ832" s="109"/>
      <c r="AK832" s="109"/>
      <c r="AL832" s="109"/>
      <c r="AM832" s="109"/>
      <c r="AN832" s="109"/>
      <c r="AO832" s="109"/>
      <c r="AP832" s="109"/>
      <c r="AQ832" s="109"/>
      <c r="AR832" s="109"/>
      <c r="AS832" s="109"/>
      <c r="AT832" s="109"/>
      <c r="AU832" s="109"/>
      <c r="AV832" s="109"/>
      <c r="AW832" s="109"/>
      <c r="AX832" s="109"/>
      <c r="AY832" s="109"/>
      <c r="AZ832" s="109"/>
    </row>
    <row r="833" spans="20:52" x14ac:dyDescent="0.45">
      <c r="T833" s="109"/>
      <c r="U833" s="109"/>
      <c r="V833" s="109"/>
      <c r="W833" s="109"/>
      <c r="X833" s="109"/>
      <c r="Y833" s="109"/>
      <c r="Z833" s="109"/>
      <c r="AA833" s="109"/>
      <c r="AB833" s="109"/>
      <c r="AC833" s="109"/>
      <c r="AD833" s="109"/>
      <c r="AE833" s="109"/>
      <c r="AF833" s="109"/>
      <c r="AG833" s="109"/>
      <c r="AH833" s="109"/>
      <c r="AI833" s="109"/>
      <c r="AJ833" s="109"/>
      <c r="AK833" s="109"/>
      <c r="AL833" s="109"/>
      <c r="AM833" s="109"/>
      <c r="AN833" s="109"/>
      <c r="AO833" s="109"/>
      <c r="AP833" s="109"/>
      <c r="AQ833" s="109"/>
      <c r="AR833" s="109"/>
      <c r="AS833" s="109"/>
      <c r="AT833" s="109"/>
      <c r="AU833" s="109"/>
      <c r="AV833" s="109"/>
      <c r="AW833" s="109"/>
      <c r="AX833" s="109"/>
      <c r="AY833" s="109"/>
      <c r="AZ833" s="109"/>
    </row>
    <row r="834" spans="20:52" x14ac:dyDescent="0.45">
      <c r="T834" s="109"/>
      <c r="U834" s="109"/>
      <c r="V834" s="109"/>
      <c r="W834" s="109"/>
      <c r="X834" s="109"/>
      <c r="Y834" s="109"/>
      <c r="Z834" s="109"/>
      <c r="AA834" s="109"/>
      <c r="AB834" s="109"/>
      <c r="AC834" s="109"/>
      <c r="AD834" s="109"/>
      <c r="AE834" s="109"/>
      <c r="AF834" s="109"/>
      <c r="AG834" s="109"/>
      <c r="AH834" s="109"/>
      <c r="AI834" s="109"/>
      <c r="AJ834" s="109"/>
      <c r="AK834" s="109"/>
      <c r="AL834" s="109"/>
      <c r="AM834" s="109"/>
      <c r="AN834" s="109"/>
      <c r="AO834" s="109"/>
      <c r="AP834" s="109"/>
      <c r="AQ834" s="109"/>
      <c r="AR834" s="109"/>
      <c r="AS834" s="109"/>
      <c r="AT834" s="109"/>
      <c r="AU834" s="109"/>
      <c r="AV834" s="109"/>
      <c r="AW834" s="109"/>
      <c r="AX834" s="109"/>
      <c r="AY834" s="109"/>
      <c r="AZ834" s="109"/>
    </row>
    <row r="835" spans="20:52" x14ac:dyDescent="0.45">
      <c r="T835" s="109"/>
      <c r="U835" s="109"/>
      <c r="V835" s="109"/>
      <c r="W835" s="109"/>
      <c r="X835" s="109"/>
      <c r="Y835" s="109"/>
      <c r="Z835" s="109"/>
      <c r="AA835" s="109"/>
      <c r="AB835" s="109"/>
      <c r="AC835" s="109"/>
      <c r="AD835" s="109"/>
      <c r="AE835" s="109"/>
      <c r="AF835" s="109"/>
      <c r="AG835" s="109"/>
      <c r="AH835" s="109"/>
      <c r="AI835" s="109"/>
      <c r="AJ835" s="109"/>
      <c r="AK835" s="109"/>
      <c r="AL835" s="109"/>
      <c r="AM835" s="109"/>
      <c r="AN835" s="109"/>
      <c r="AO835" s="109"/>
      <c r="AP835" s="109"/>
      <c r="AQ835" s="109"/>
      <c r="AR835" s="109"/>
      <c r="AS835" s="109"/>
      <c r="AT835" s="109"/>
      <c r="AU835" s="109"/>
      <c r="AV835" s="109"/>
      <c r="AW835" s="109"/>
      <c r="AX835" s="109"/>
      <c r="AY835" s="109"/>
      <c r="AZ835" s="109"/>
    </row>
    <row r="836" spans="20:52" x14ac:dyDescent="0.45">
      <c r="T836" s="109"/>
      <c r="U836" s="109"/>
      <c r="V836" s="109"/>
      <c r="W836" s="109"/>
      <c r="X836" s="109"/>
      <c r="Y836" s="109"/>
      <c r="Z836" s="109"/>
      <c r="AA836" s="109"/>
      <c r="AB836" s="109"/>
      <c r="AC836" s="109"/>
      <c r="AD836" s="109"/>
      <c r="AE836" s="109"/>
      <c r="AF836" s="109"/>
      <c r="AG836" s="109"/>
      <c r="AH836" s="109"/>
      <c r="AI836" s="109"/>
      <c r="AJ836" s="109"/>
      <c r="AK836" s="109"/>
      <c r="AL836" s="109"/>
      <c r="AM836" s="109"/>
      <c r="AN836" s="109"/>
      <c r="AO836" s="109"/>
      <c r="AP836" s="109"/>
      <c r="AQ836" s="109"/>
      <c r="AR836" s="109"/>
      <c r="AS836" s="109"/>
      <c r="AT836" s="109"/>
      <c r="AU836" s="109"/>
      <c r="AV836" s="109"/>
      <c r="AW836" s="109"/>
      <c r="AX836" s="109"/>
      <c r="AY836" s="109"/>
      <c r="AZ836" s="109"/>
    </row>
    <row r="837" spans="20:52" x14ac:dyDescent="0.45">
      <c r="T837" s="109"/>
      <c r="U837" s="109"/>
      <c r="V837" s="109"/>
      <c r="W837" s="109"/>
      <c r="X837" s="109"/>
      <c r="Y837" s="109"/>
      <c r="Z837" s="109"/>
      <c r="AA837" s="109"/>
      <c r="AB837" s="109"/>
      <c r="AC837" s="109"/>
      <c r="AD837" s="109"/>
      <c r="AE837" s="109"/>
      <c r="AF837" s="109"/>
      <c r="AG837" s="109"/>
      <c r="AH837" s="109"/>
      <c r="AI837" s="109"/>
      <c r="AJ837" s="109"/>
      <c r="AK837" s="109"/>
      <c r="AL837" s="109"/>
      <c r="AM837" s="109"/>
      <c r="AN837" s="109"/>
      <c r="AO837" s="109"/>
      <c r="AP837" s="109"/>
      <c r="AQ837" s="109"/>
      <c r="AR837" s="109"/>
      <c r="AS837" s="109"/>
      <c r="AT837" s="109"/>
      <c r="AU837" s="109"/>
      <c r="AV837" s="109"/>
      <c r="AW837" s="109"/>
      <c r="AX837" s="109"/>
      <c r="AY837" s="109"/>
      <c r="AZ837" s="109"/>
    </row>
    <row r="838" spans="20:52" x14ac:dyDescent="0.45">
      <c r="T838" s="109"/>
      <c r="U838" s="109"/>
      <c r="V838" s="109"/>
      <c r="W838" s="109"/>
      <c r="X838" s="109"/>
      <c r="Y838" s="109"/>
      <c r="Z838" s="109"/>
      <c r="AA838" s="109"/>
      <c r="AB838" s="109"/>
      <c r="AC838" s="109"/>
      <c r="AD838" s="109"/>
      <c r="AE838" s="109"/>
      <c r="AF838" s="109"/>
      <c r="AG838" s="109"/>
      <c r="AH838" s="109"/>
      <c r="AI838" s="109"/>
      <c r="AJ838" s="109"/>
      <c r="AK838" s="109"/>
      <c r="AL838" s="109"/>
      <c r="AM838" s="109"/>
      <c r="AN838" s="109"/>
      <c r="AO838" s="109"/>
      <c r="AP838" s="109"/>
      <c r="AQ838" s="109"/>
      <c r="AR838" s="109"/>
      <c r="AS838" s="109"/>
      <c r="AT838" s="109"/>
      <c r="AU838" s="109"/>
      <c r="AV838" s="109"/>
      <c r="AW838" s="109"/>
      <c r="AX838" s="109"/>
      <c r="AY838" s="109"/>
      <c r="AZ838" s="109"/>
    </row>
    <row r="839" spans="20:52" x14ac:dyDescent="0.45">
      <c r="T839" s="109"/>
      <c r="U839" s="109"/>
      <c r="V839" s="109"/>
      <c r="W839" s="109"/>
      <c r="X839" s="109"/>
      <c r="Y839" s="109"/>
      <c r="Z839" s="109"/>
      <c r="AA839" s="109"/>
      <c r="AB839" s="109"/>
      <c r="AC839" s="109"/>
      <c r="AD839" s="109"/>
      <c r="AE839" s="109"/>
      <c r="AF839" s="109"/>
      <c r="AG839" s="109"/>
      <c r="AH839" s="109"/>
      <c r="AI839" s="109"/>
      <c r="AJ839" s="109"/>
      <c r="AK839" s="109"/>
      <c r="AL839" s="109"/>
      <c r="AM839" s="109"/>
      <c r="AN839" s="109"/>
      <c r="AO839" s="109"/>
      <c r="AP839" s="109"/>
      <c r="AQ839" s="109"/>
      <c r="AR839" s="109"/>
      <c r="AS839" s="109"/>
      <c r="AT839" s="109"/>
      <c r="AU839" s="109"/>
      <c r="AV839" s="109"/>
      <c r="AW839" s="109"/>
      <c r="AX839" s="109"/>
      <c r="AY839" s="109"/>
      <c r="AZ839" s="109"/>
    </row>
    <row r="840" spans="20:52" x14ac:dyDescent="0.45">
      <c r="T840" s="109"/>
      <c r="U840" s="109"/>
      <c r="V840" s="109"/>
      <c r="W840" s="109"/>
      <c r="X840" s="109"/>
      <c r="Y840" s="109"/>
      <c r="Z840" s="109"/>
      <c r="AA840" s="109"/>
      <c r="AB840" s="109"/>
      <c r="AC840" s="109"/>
      <c r="AD840" s="109"/>
      <c r="AE840" s="109"/>
      <c r="AF840" s="109"/>
      <c r="AG840" s="109"/>
      <c r="AH840" s="109"/>
      <c r="AI840" s="109"/>
      <c r="AJ840" s="109"/>
      <c r="AK840" s="109"/>
      <c r="AL840" s="109"/>
      <c r="AM840" s="109"/>
      <c r="AN840" s="109"/>
      <c r="AO840" s="109"/>
      <c r="AP840" s="109"/>
      <c r="AQ840" s="109"/>
      <c r="AR840" s="109"/>
      <c r="AS840" s="109"/>
      <c r="AT840" s="109"/>
      <c r="AU840" s="109"/>
      <c r="AV840" s="109"/>
      <c r="AW840" s="109"/>
      <c r="AX840" s="109"/>
      <c r="AY840" s="109"/>
      <c r="AZ840" s="109"/>
    </row>
    <row r="841" spans="20:52" x14ac:dyDescent="0.45">
      <c r="T841" s="109"/>
      <c r="U841" s="109"/>
      <c r="V841" s="109"/>
      <c r="W841" s="109"/>
      <c r="X841" s="109"/>
      <c r="Y841" s="109"/>
      <c r="Z841" s="109"/>
      <c r="AA841" s="109"/>
      <c r="AB841" s="109"/>
      <c r="AC841" s="109"/>
      <c r="AD841" s="109"/>
      <c r="AE841" s="109"/>
      <c r="AF841" s="109"/>
      <c r="AG841" s="109"/>
      <c r="AH841" s="109"/>
      <c r="AI841" s="109"/>
      <c r="AJ841" s="109"/>
      <c r="AK841" s="109"/>
      <c r="AL841" s="109"/>
      <c r="AM841" s="109"/>
      <c r="AN841" s="109"/>
      <c r="AO841" s="109"/>
      <c r="AP841" s="109"/>
      <c r="AQ841" s="109"/>
      <c r="AR841" s="109"/>
      <c r="AS841" s="109"/>
      <c r="AT841" s="109"/>
      <c r="AU841" s="109"/>
      <c r="AV841" s="109"/>
      <c r="AW841" s="109"/>
      <c r="AX841" s="109"/>
      <c r="AY841" s="109"/>
      <c r="AZ841" s="109"/>
    </row>
    <row r="842" spans="20:52" x14ac:dyDescent="0.45">
      <c r="T842" s="109"/>
      <c r="U842" s="109"/>
      <c r="V842" s="109"/>
      <c r="W842" s="109"/>
      <c r="X842" s="109"/>
      <c r="Y842" s="109"/>
      <c r="Z842" s="109"/>
      <c r="AA842" s="109"/>
      <c r="AB842" s="109"/>
      <c r="AC842" s="109"/>
      <c r="AD842" s="109"/>
      <c r="AE842" s="109"/>
      <c r="AF842" s="109"/>
      <c r="AG842" s="109"/>
      <c r="AH842" s="109"/>
      <c r="AI842" s="109"/>
      <c r="AJ842" s="109"/>
      <c r="AK842" s="109"/>
      <c r="AL842" s="109"/>
      <c r="AM842" s="109"/>
      <c r="AN842" s="109"/>
      <c r="AO842" s="109"/>
      <c r="AP842" s="109"/>
      <c r="AQ842" s="109"/>
      <c r="AR842" s="109"/>
      <c r="AS842" s="109"/>
      <c r="AT842" s="109"/>
      <c r="AU842" s="109"/>
      <c r="AV842" s="109"/>
      <c r="AW842" s="109"/>
      <c r="AX842" s="109"/>
      <c r="AY842" s="109"/>
      <c r="AZ842" s="109"/>
    </row>
    <row r="843" spans="20:52" x14ac:dyDescent="0.45">
      <c r="T843" s="109"/>
      <c r="U843" s="109"/>
      <c r="V843" s="109"/>
      <c r="W843" s="109"/>
      <c r="X843" s="109"/>
      <c r="Y843" s="109"/>
      <c r="Z843" s="109"/>
      <c r="AA843" s="109"/>
      <c r="AB843" s="109"/>
      <c r="AC843" s="109"/>
      <c r="AD843" s="109"/>
      <c r="AE843" s="109"/>
      <c r="AF843" s="109"/>
      <c r="AG843" s="109"/>
      <c r="AH843" s="109"/>
      <c r="AI843" s="109"/>
      <c r="AJ843" s="109"/>
      <c r="AK843" s="109"/>
      <c r="AL843" s="109"/>
      <c r="AM843" s="109"/>
      <c r="AN843" s="109"/>
      <c r="AO843" s="109"/>
      <c r="AP843" s="109"/>
      <c r="AQ843" s="109"/>
      <c r="AR843" s="109"/>
      <c r="AS843" s="109"/>
      <c r="AT843" s="109"/>
      <c r="AU843" s="109"/>
      <c r="AV843" s="109"/>
      <c r="AW843" s="109"/>
      <c r="AX843" s="109"/>
      <c r="AY843" s="109"/>
      <c r="AZ843" s="109"/>
    </row>
    <row r="844" spans="20:52" x14ac:dyDescent="0.45">
      <c r="T844" s="109"/>
      <c r="U844" s="109"/>
      <c r="V844" s="109"/>
      <c r="W844" s="109"/>
      <c r="X844" s="109"/>
      <c r="Y844" s="109"/>
      <c r="Z844" s="109"/>
      <c r="AA844" s="109"/>
      <c r="AB844" s="109"/>
      <c r="AC844" s="109"/>
      <c r="AD844" s="109"/>
      <c r="AE844" s="109"/>
      <c r="AF844" s="109"/>
      <c r="AG844" s="109"/>
      <c r="AH844" s="109"/>
      <c r="AI844" s="109"/>
      <c r="AJ844" s="109"/>
      <c r="AK844" s="109"/>
      <c r="AL844" s="109"/>
      <c r="AM844" s="109"/>
      <c r="AN844" s="109"/>
      <c r="AO844" s="109"/>
      <c r="AP844" s="109"/>
      <c r="AQ844" s="109"/>
      <c r="AR844" s="109"/>
      <c r="AS844" s="109"/>
      <c r="AT844" s="109"/>
      <c r="AU844" s="109"/>
      <c r="AV844" s="109"/>
      <c r="AW844" s="109"/>
      <c r="AX844" s="109"/>
      <c r="AY844" s="109"/>
      <c r="AZ844" s="109"/>
    </row>
    <row r="845" spans="20:52" x14ac:dyDescent="0.45">
      <c r="T845" s="109"/>
      <c r="U845" s="109"/>
      <c r="V845" s="109"/>
      <c r="W845" s="109"/>
      <c r="X845" s="109"/>
      <c r="Y845" s="109"/>
      <c r="Z845" s="109"/>
      <c r="AA845" s="109"/>
      <c r="AB845" s="109"/>
      <c r="AC845" s="109"/>
      <c r="AD845" s="109"/>
      <c r="AE845" s="109"/>
      <c r="AF845" s="109"/>
      <c r="AG845" s="109"/>
      <c r="AH845" s="109"/>
      <c r="AI845" s="109"/>
      <c r="AJ845" s="109"/>
      <c r="AK845" s="109"/>
      <c r="AL845" s="109"/>
      <c r="AM845" s="109"/>
      <c r="AN845" s="109"/>
      <c r="AO845" s="109"/>
      <c r="AP845" s="109"/>
      <c r="AQ845" s="109"/>
      <c r="AR845" s="109"/>
      <c r="AS845" s="109"/>
      <c r="AT845" s="109"/>
      <c r="AU845" s="109"/>
      <c r="AV845" s="109"/>
      <c r="AW845" s="109"/>
      <c r="AX845" s="109"/>
      <c r="AY845" s="109"/>
      <c r="AZ845" s="109"/>
    </row>
    <row r="846" spans="20:52" x14ac:dyDescent="0.45">
      <c r="T846" s="109"/>
      <c r="U846" s="109"/>
      <c r="V846" s="109"/>
      <c r="W846" s="109"/>
      <c r="X846" s="109"/>
      <c r="Y846" s="109"/>
      <c r="Z846" s="109"/>
      <c r="AA846" s="109"/>
      <c r="AB846" s="109"/>
      <c r="AC846" s="109"/>
      <c r="AD846" s="109"/>
      <c r="AE846" s="109"/>
      <c r="AF846" s="109"/>
      <c r="AG846" s="109"/>
      <c r="AH846" s="109"/>
      <c r="AI846" s="109"/>
      <c r="AJ846" s="109"/>
      <c r="AK846" s="109"/>
      <c r="AL846" s="109"/>
      <c r="AM846" s="109"/>
      <c r="AN846" s="109"/>
      <c r="AO846" s="109"/>
      <c r="AP846" s="109"/>
      <c r="AQ846" s="109"/>
      <c r="AR846" s="109"/>
      <c r="AS846" s="109"/>
      <c r="AT846" s="109"/>
      <c r="AU846" s="109"/>
      <c r="AV846" s="109"/>
      <c r="AW846" s="109"/>
      <c r="AX846" s="109"/>
      <c r="AY846" s="109"/>
      <c r="AZ846" s="109"/>
    </row>
    <row r="847" spans="20:52" x14ac:dyDescent="0.45">
      <c r="T847" s="109"/>
      <c r="U847" s="109"/>
      <c r="V847" s="109"/>
      <c r="W847" s="109"/>
      <c r="X847" s="109"/>
      <c r="Y847" s="109"/>
      <c r="Z847" s="109"/>
      <c r="AA847" s="109"/>
      <c r="AB847" s="109"/>
      <c r="AC847" s="109"/>
      <c r="AD847" s="109"/>
      <c r="AE847" s="109"/>
      <c r="AF847" s="109"/>
      <c r="AG847" s="109"/>
      <c r="AH847" s="109"/>
      <c r="AI847" s="109"/>
      <c r="AJ847" s="109"/>
      <c r="AK847" s="109"/>
      <c r="AL847" s="109"/>
      <c r="AM847" s="109"/>
      <c r="AN847" s="109"/>
      <c r="AO847" s="109"/>
      <c r="AP847" s="109"/>
      <c r="AQ847" s="109"/>
      <c r="AR847" s="109"/>
      <c r="AS847" s="109"/>
      <c r="AT847" s="109"/>
      <c r="AU847" s="109"/>
      <c r="AV847" s="109"/>
      <c r="AW847" s="109"/>
      <c r="AX847" s="109"/>
      <c r="AY847" s="109"/>
      <c r="AZ847" s="109"/>
    </row>
    <row r="848" spans="20:52" x14ac:dyDescent="0.45">
      <c r="T848" s="109"/>
      <c r="U848" s="109"/>
      <c r="V848" s="109"/>
      <c r="W848" s="109"/>
      <c r="X848" s="109"/>
      <c r="Y848" s="109"/>
      <c r="Z848" s="109"/>
      <c r="AA848" s="109"/>
      <c r="AB848" s="109"/>
      <c r="AC848" s="109"/>
      <c r="AD848" s="109"/>
      <c r="AE848" s="109"/>
      <c r="AF848" s="109"/>
      <c r="AG848" s="109"/>
      <c r="AH848" s="109"/>
      <c r="AI848" s="109"/>
      <c r="AJ848" s="109"/>
      <c r="AK848" s="109"/>
      <c r="AL848" s="109"/>
      <c r="AM848" s="109"/>
      <c r="AN848" s="109"/>
      <c r="AO848" s="109"/>
      <c r="AP848" s="109"/>
      <c r="AQ848" s="109"/>
      <c r="AR848" s="109"/>
      <c r="AS848" s="109"/>
      <c r="AT848" s="109"/>
      <c r="AU848" s="109"/>
      <c r="AV848" s="109"/>
      <c r="AW848" s="109"/>
      <c r="AX848" s="109"/>
      <c r="AY848" s="109"/>
      <c r="AZ848" s="109"/>
    </row>
    <row r="849" spans="20:52" x14ac:dyDescent="0.45">
      <c r="T849" s="109"/>
      <c r="U849" s="109"/>
      <c r="V849" s="109"/>
      <c r="W849" s="109"/>
      <c r="X849" s="109"/>
      <c r="Y849" s="109"/>
      <c r="Z849" s="109"/>
      <c r="AA849" s="109"/>
      <c r="AB849" s="109"/>
      <c r="AC849" s="109"/>
      <c r="AD849" s="109"/>
      <c r="AE849" s="109"/>
      <c r="AF849" s="109"/>
      <c r="AG849" s="109"/>
      <c r="AH849" s="109"/>
      <c r="AI849" s="109"/>
      <c r="AJ849" s="109"/>
      <c r="AK849" s="109"/>
      <c r="AL849" s="109"/>
      <c r="AM849" s="109"/>
      <c r="AN849" s="109"/>
      <c r="AO849" s="109"/>
      <c r="AP849" s="109"/>
      <c r="AQ849" s="109"/>
      <c r="AR849" s="109"/>
      <c r="AS849" s="109"/>
      <c r="AT849" s="109"/>
      <c r="AU849" s="109"/>
      <c r="AV849" s="109"/>
      <c r="AW849" s="109"/>
      <c r="AX849" s="109"/>
      <c r="AY849" s="109"/>
      <c r="AZ849" s="109"/>
    </row>
    <row r="850" spans="20:52" x14ac:dyDescent="0.45">
      <c r="T850" s="109"/>
      <c r="U850" s="109"/>
      <c r="V850" s="109"/>
      <c r="W850" s="109"/>
      <c r="X850" s="109"/>
      <c r="Y850" s="109"/>
      <c r="Z850" s="109"/>
      <c r="AA850" s="109"/>
      <c r="AB850" s="109"/>
      <c r="AC850" s="109"/>
      <c r="AD850" s="109"/>
      <c r="AE850" s="109"/>
      <c r="AF850" s="109"/>
      <c r="AG850" s="109"/>
      <c r="AH850" s="109"/>
      <c r="AI850" s="109"/>
      <c r="AJ850" s="109"/>
      <c r="AK850" s="109"/>
      <c r="AL850" s="109"/>
      <c r="AM850" s="109"/>
      <c r="AN850" s="109"/>
      <c r="AO850" s="109"/>
      <c r="AP850" s="109"/>
      <c r="AQ850" s="109"/>
      <c r="AR850" s="109"/>
      <c r="AS850" s="109"/>
      <c r="AT850" s="109"/>
      <c r="AU850" s="109"/>
      <c r="AV850" s="109"/>
      <c r="AW850" s="109"/>
      <c r="AX850" s="109"/>
      <c r="AY850" s="109"/>
      <c r="AZ850" s="109"/>
    </row>
    <row r="851" spans="20:52" x14ac:dyDescent="0.45">
      <c r="T851" s="109"/>
      <c r="U851" s="109"/>
      <c r="V851" s="109"/>
      <c r="W851" s="109"/>
      <c r="X851" s="109"/>
      <c r="Y851" s="109"/>
      <c r="Z851" s="109"/>
      <c r="AA851" s="109"/>
      <c r="AB851" s="109"/>
      <c r="AC851" s="109"/>
      <c r="AD851" s="109"/>
      <c r="AE851" s="109"/>
      <c r="AF851" s="109"/>
      <c r="AG851" s="109"/>
      <c r="AH851" s="109"/>
      <c r="AI851" s="109"/>
      <c r="AJ851" s="109"/>
      <c r="AK851" s="109"/>
      <c r="AL851" s="109"/>
      <c r="AM851" s="109"/>
      <c r="AN851" s="109"/>
      <c r="AO851" s="109"/>
      <c r="AP851" s="109"/>
      <c r="AQ851" s="109"/>
      <c r="AR851" s="109"/>
      <c r="AS851" s="109"/>
      <c r="AT851" s="109"/>
      <c r="AU851" s="109"/>
      <c r="AV851" s="109"/>
      <c r="AW851" s="109"/>
      <c r="AX851" s="109"/>
      <c r="AY851" s="109"/>
      <c r="AZ851" s="109"/>
    </row>
    <row r="852" spans="20:52" x14ac:dyDescent="0.45">
      <c r="T852" s="109"/>
      <c r="U852" s="109"/>
      <c r="V852" s="109"/>
      <c r="W852" s="109"/>
      <c r="X852" s="109"/>
      <c r="Y852" s="109"/>
      <c r="Z852" s="109"/>
      <c r="AA852" s="109"/>
      <c r="AB852" s="109"/>
      <c r="AC852" s="109"/>
      <c r="AD852" s="109"/>
      <c r="AE852" s="109"/>
      <c r="AF852" s="109"/>
      <c r="AG852" s="109"/>
      <c r="AH852" s="109"/>
      <c r="AI852" s="109"/>
      <c r="AJ852" s="109"/>
      <c r="AK852" s="109"/>
      <c r="AL852" s="109"/>
      <c r="AM852" s="109"/>
      <c r="AN852" s="109"/>
      <c r="AO852" s="109"/>
      <c r="AP852" s="109"/>
      <c r="AQ852" s="109"/>
      <c r="AR852" s="109"/>
      <c r="AS852" s="109"/>
      <c r="AT852" s="109"/>
      <c r="AU852" s="109"/>
      <c r="AV852" s="109"/>
      <c r="AW852" s="109"/>
      <c r="AX852" s="109"/>
      <c r="AY852" s="109"/>
      <c r="AZ852" s="109"/>
    </row>
    <row r="853" spans="20:52" x14ac:dyDescent="0.45">
      <c r="T853" s="109"/>
      <c r="U853" s="109"/>
      <c r="V853" s="109"/>
      <c r="W853" s="109"/>
      <c r="X853" s="109"/>
      <c r="Y853" s="109"/>
      <c r="Z853" s="109"/>
      <c r="AA853" s="109"/>
      <c r="AB853" s="109"/>
      <c r="AC853" s="109"/>
      <c r="AD853" s="109"/>
      <c r="AE853" s="109"/>
      <c r="AF853" s="109"/>
      <c r="AG853" s="109"/>
      <c r="AH853" s="109"/>
      <c r="AI853" s="109"/>
      <c r="AJ853" s="109"/>
      <c r="AK853" s="109"/>
      <c r="AL853" s="109"/>
      <c r="AM853" s="109"/>
      <c r="AN853" s="109"/>
      <c r="AO853" s="109"/>
      <c r="AP853" s="109"/>
      <c r="AQ853" s="109"/>
      <c r="AR853" s="109"/>
      <c r="AS853" s="109"/>
      <c r="AT853" s="109"/>
      <c r="AU853" s="109"/>
      <c r="AV853" s="109"/>
      <c r="AW853" s="109"/>
      <c r="AX853" s="109"/>
      <c r="AY853" s="109"/>
      <c r="AZ853" s="109"/>
    </row>
    <row r="854" spans="20:52" x14ac:dyDescent="0.45">
      <c r="T854" s="109"/>
      <c r="U854" s="109"/>
      <c r="V854" s="109"/>
      <c r="W854" s="109"/>
      <c r="X854" s="109"/>
      <c r="Y854" s="109"/>
      <c r="Z854" s="109"/>
      <c r="AA854" s="109"/>
      <c r="AB854" s="109"/>
      <c r="AC854" s="109"/>
      <c r="AD854" s="109"/>
      <c r="AE854" s="109"/>
      <c r="AF854" s="109"/>
      <c r="AG854" s="109"/>
      <c r="AH854" s="109"/>
      <c r="AI854" s="109"/>
      <c r="AJ854" s="109"/>
      <c r="AK854" s="109"/>
      <c r="AL854" s="109"/>
      <c r="AM854" s="109"/>
      <c r="AN854" s="109"/>
      <c r="AO854" s="109"/>
      <c r="AP854" s="109"/>
      <c r="AQ854" s="109"/>
      <c r="AR854" s="109"/>
      <c r="AS854" s="109"/>
      <c r="AT854" s="109"/>
      <c r="AU854" s="109"/>
      <c r="AV854" s="109"/>
      <c r="AW854" s="109"/>
      <c r="AX854" s="109"/>
      <c r="AY854" s="109"/>
      <c r="AZ854" s="109"/>
    </row>
    <row r="855" spans="20:52" x14ac:dyDescent="0.45">
      <c r="T855" s="109"/>
      <c r="U855" s="109"/>
      <c r="V855" s="109"/>
      <c r="W855" s="109"/>
      <c r="X855" s="109"/>
      <c r="Y855" s="109"/>
      <c r="Z855" s="109"/>
      <c r="AA855" s="109"/>
      <c r="AB855" s="109"/>
      <c r="AC855" s="109"/>
      <c r="AD855" s="109"/>
      <c r="AE855" s="109"/>
      <c r="AF855" s="109"/>
      <c r="AG855" s="109"/>
      <c r="AH855" s="109"/>
      <c r="AI855" s="109"/>
      <c r="AJ855" s="109"/>
      <c r="AK855" s="109"/>
      <c r="AL855" s="109"/>
      <c r="AM855" s="109"/>
      <c r="AN855" s="109"/>
      <c r="AO855" s="109"/>
      <c r="AP855" s="109"/>
      <c r="AQ855" s="109"/>
      <c r="AR855" s="109"/>
      <c r="AS855" s="109"/>
      <c r="AT855" s="109"/>
      <c r="AU855" s="109"/>
      <c r="AV855" s="109"/>
      <c r="AW855" s="109"/>
      <c r="AX855" s="109"/>
      <c r="AY855" s="109"/>
      <c r="AZ855" s="109"/>
    </row>
    <row r="856" spans="20:52" x14ac:dyDescent="0.45">
      <c r="T856" s="109"/>
      <c r="U856" s="109"/>
      <c r="V856" s="109"/>
      <c r="W856" s="109"/>
      <c r="X856" s="109"/>
      <c r="Y856" s="109"/>
      <c r="Z856" s="109"/>
      <c r="AA856" s="109"/>
      <c r="AB856" s="109"/>
      <c r="AC856" s="109"/>
      <c r="AD856" s="109"/>
      <c r="AE856" s="109"/>
      <c r="AF856" s="109"/>
      <c r="AG856" s="109"/>
      <c r="AH856" s="109"/>
      <c r="AI856" s="109"/>
      <c r="AJ856" s="109"/>
      <c r="AK856" s="109"/>
      <c r="AL856" s="109"/>
      <c r="AM856" s="109"/>
      <c r="AN856" s="109"/>
      <c r="AO856" s="109"/>
      <c r="AP856" s="109"/>
      <c r="AQ856" s="109"/>
      <c r="AR856" s="109"/>
      <c r="AS856" s="109"/>
      <c r="AT856" s="109"/>
      <c r="AU856" s="109"/>
      <c r="AV856" s="109"/>
      <c r="AW856" s="109"/>
      <c r="AX856" s="109"/>
      <c r="AY856" s="109"/>
      <c r="AZ856" s="109"/>
    </row>
    <row r="857" spans="20:52" x14ac:dyDescent="0.45">
      <c r="T857" s="109"/>
      <c r="U857" s="109"/>
      <c r="V857" s="109"/>
      <c r="W857" s="109"/>
      <c r="X857" s="109"/>
      <c r="Y857" s="109"/>
      <c r="Z857" s="109"/>
      <c r="AA857" s="109"/>
      <c r="AB857" s="109"/>
      <c r="AC857" s="109"/>
      <c r="AD857" s="109"/>
      <c r="AE857" s="109"/>
      <c r="AF857" s="109"/>
      <c r="AG857" s="109"/>
      <c r="AH857" s="109"/>
      <c r="AI857" s="109"/>
      <c r="AJ857" s="109"/>
      <c r="AK857" s="109"/>
      <c r="AL857" s="109"/>
      <c r="AM857" s="109"/>
      <c r="AN857" s="109"/>
      <c r="AO857" s="109"/>
      <c r="AP857" s="109"/>
      <c r="AQ857" s="109"/>
      <c r="AR857" s="109"/>
      <c r="AS857" s="109"/>
      <c r="AT857" s="109"/>
      <c r="AU857" s="109"/>
      <c r="AV857" s="109"/>
      <c r="AW857" s="109"/>
      <c r="AX857" s="109"/>
      <c r="AY857" s="109"/>
      <c r="AZ857" s="109"/>
    </row>
    <row r="858" spans="20:52" x14ac:dyDescent="0.45">
      <c r="T858" s="109"/>
      <c r="U858" s="109"/>
      <c r="V858" s="109"/>
      <c r="W858" s="109"/>
      <c r="X858" s="109"/>
      <c r="Y858" s="109"/>
      <c r="Z858" s="109"/>
      <c r="AA858" s="109"/>
      <c r="AB858" s="109"/>
      <c r="AC858" s="109"/>
      <c r="AD858" s="109"/>
      <c r="AE858" s="109"/>
      <c r="AF858" s="109"/>
      <c r="AG858" s="109"/>
      <c r="AH858" s="109"/>
      <c r="AI858" s="109"/>
      <c r="AJ858" s="109"/>
      <c r="AK858" s="109"/>
      <c r="AL858" s="109"/>
      <c r="AM858" s="109"/>
      <c r="AN858" s="109"/>
      <c r="AO858" s="109"/>
      <c r="AP858" s="109"/>
      <c r="AQ858" s="109"/>
      <c r="AR858" s="109"/>
      <c r="AS858" s="109"/>
      <c r="AT858" s="109"/>
      <c r="AU858" s="109"/>
      <c r="AV858" s="109"/>
      <c r="AW858" s="109"/>
      <c r="AX858" s="109"/>
      <c r="AY858" s="109"/>
      <c r="AZ858" s="109"/>
    </row>
    <row r="859" spans="20:52" x14ac:dyDescent="0.45">
      <c r="T859" s="109"/>
      <c r="U859" s="109"/>
      <c r="V859" s="109"/>
      <c r="W859" s="109"/>
      <c r="X859" s="109"/>
      <c r="Y859" s="109"/>
      <c r="Z859" s="109"/>
      <c r="AA859" s="109"/>
      <c r="AB859" s="109"/>
      <c r="AC859" s="109"/>
      <c r="AD859" s="109"/>
      <c r="AE859" s="109"/>
      <c r="AF859" s="109"/>
      <c r="AG859" s="109"/>
      <c r="AH859" s="109"/>
      <c r="AI859" s="109"/>
      <c r="AJ859" s="109"/>
      <c r="AK859" s="109"/>
      <c r="AL859" s="109"/>
      <c r="AM859" s="109"/>
      <c r="AN859" s="109"/>
      <c r="AO859" s="109"/>
      <c r="AP859" s="109"/>
      <c r="AQ859" s="109"/>
      <c r="AR859" s="109"/>
      <c r="AS859" s="109"/>
      <c r="AT859" s="109"/>
      <c r="AU859" s="109"/>
      <c r="AV859" s="109"/>
      <c r="AW859" s="109"/>
      <c r="AX859" s="109"/>
      <c r="AY859" s="109"/>
      <c r="AZ859" s="109"/>
    </row>
    <row r="860" spans="20:52" x14ac:dyDescent="0.45">
      <c r="T860" s="109"/>
      <c r="U860" s="109"/>
      <c r="V860" s="109"/>
      <c r="W860" s="109"/>
      <c r="X860" s="109"/>
      <c r="Y860" s="109"/>
      <c r="Z860" s="109"/>
      <c r="AA860" s="109"/>
      <c r="AB860" s="109"/>
      <c r="AC860" s="109"/>
      <c r="AD860" s="109"/>
      <c r="AE860" s="109"/>
      <c r="AF860" s="109"/>
      <c r="AG860" s="109"/>
      <c r="AH860" s="109"/>
      <c r="AI860" s="109"/>
      <c r="AJ860" s="109"/>
      <c r="AK860" s="109"/>
      <c r="AL860" s="109"/>
      <c r="AM860" s="109"/>
      <c r="AN860" s="109"/>
      <c r="AO860" s="109"/>
      <c r="AP860" s="109"/>
      <c r="AQ860" s="109"/>
      <c r="AR860" s="109"/>
      <c r="AS860" s="109"/>
      <c r="AT860" s="109"/>
      <c r="AU860" s="109"/>
      <c r="AV860" s="109"/>
      <c r="AW860" s="109"/>
      <c r="AX860" s="109"/>
      <c r="AY860" s="109"/>
      <c r="AZ860" s="109"/>
    </row>
    <row r="861" spans="20:52" x14ac:dyDescent="0.45">
      <c r="T861" s="109"/>
      <c r="U861" s="109"/>
      <c r="V861" s="109"/>
      <c r="W861" s="109"/>
      <c r="X861" s="109"/>
      <c r="Y861" s="109"/>
      <c r="Z861" s="109"/>
      <c r="AA861" s="109"/>
      <c r="AB861" s="109"/>
      <c r="AC861" s="109"/>
      <c r="AD861" s="109"/>
      <c r="AE861" s="109"/>
      <c r="AF861" s="109"/>
      <c r="AG861" s="109"/>
      <c r="AH861" s="109"/>
      <c r="AI861" s="109"/>
      <c r="AJ861" s="109"/>
      <c r="AK861" s="109"/>
      <c r="AL861" s="109"/>
      <c r="AM861" s="109"/>
      <c r="AN861" s="109"/>
      <c r="AO861" s="109"/>
      <c r="AP861" s="109"/>
      <c r="AQ861" s="109"/>
      <c r="AR861" s="109"/>
      <c r="AS861" s="109"/>
      <c r="AT861" s="109"/>
      <c r="AU861" s="109"/>
      <c r="AV861" s="109"/>
      <c r="AW861" s="109"/>
      <c r="AX861" s="109"/>
      <c r="AY861" s="109"/>
      <c r="AZ861" s="109"/>
    </row>
    <row r="862" spans="20:52" x14ac:dyDescent="0.45">
      <c r="T862" s="109"/>
      <c r="U862" s="109"/>
      <c r="V862" s="109"/>
      <c r="W862" s="109"/>
      <c r="X862" s="109"/>
      <c r="Y862" s="109"/>
      <c r="Z862" s="109"/>
      <c r="AA862" s="109"/>
      <c r="AB862" s="109"/>
      <c r="AC862" s="109"/>
      <c r="AD862" s="109"/>
      <c r="AE862" s="109"/>
      <c r="AF862" s="109"/>
      <c r="AG862" s="109"/>
      <c r="AH862" s="109"/>
      <c r="AI862" s="109"/>
      <c r="AJ862" s="109"/>
      <c r="AK862" s="109"/>
      <c r="AL862" s="109"/>
      <c r="AM862" s="109"/>
      <c r="AN862" s="109"/>
      <c r="AO862" s="109"/>
      <c r="AP862" s="109"/>
      <c r="AQ862" s="109"/>
      <c r="AR862" s="109"/>
      <c r="AS862" s="109"/>
      <c r="AT862" s="109"/>
      <c r="AU862" s="109"/>
      <c r="AV862" s="109"/>
      <c r="AW862" s="109"/>
      <c r="AX862" s="109"/>
      <c r="AY862" s="109"/>
      <c r="AZ862" s="109"/>
    </row>
    <row r="863" spans="20:52" x14ac:dyDescent="0.45">
      <c r="T863" s="109"/>
      <c r="U863" s="109"/>
      <c r="V863" s="109"/>
      <c r="W863" s="109"/>
      <c r="X863" s="109"/>
      <c r="Y863" s="109"/>
      <c r="Z863" s="109"/>
      <c r="AA863" s="109"/>
      <c r="AB863" s="109"/>
      <c r="AC863" s="109"/>
      <c r="AD863" s="109"/>
      <c r="AE863" s="109"/>
      <c r="AF863" s="109"/>
      <c r="AG863" s="109"/>
      <c r="AH863" s="109"/>
      <c r="AI863" s="109"/>
      <c r="AJ863" s="109"/>
      <c r="AK863" s="109"/>
      <c r="AL863" s="109"/>
      <c r="AM863" s="109"/>
      <c r="AN863" s="109"/>
      <c r="AO863" s="109"/>
      <c r="AP863" s="109"/>
      <c r="AQ863" s="109"/>
      <c r="AR863" s="109"/>
      <c r="AS863" s="109"/>
      <c r="AT863" s="109"/>
      <c r="AU863" s="109"/>
      <c r="AV863" s="109"/>
      <c r="AW863" s="109"/>
      <c r="AX863" s="109"/>
      <c r="AY863" s="109"/>
      <c r="AZ863" s="109"/>
    </row>
    <row r="864" spans="20:52" x14ac:dyDescent="0.45">
      <c r="T864" s="109"/>
      <c r="U864" s="109"/>
      <c r="V864" s="109"/>
      <c r="W864" s="109"/>
      <c r="X864" s="109"/>
      <c r="Y864" s="109"/>
      <c r="Z864" s="109"/>
      <c r="AA864" s="109"/>
      <c r="AB864" s="109"/>
      <c r="AC864" s="109"/>
      <c r="AD864" s="109"/>
      <c r="AE864" s="109"/>
      <c r="AF864" s="109"/>
      <c r="AG864" s="109"/>
      <c r="AH864" s="109"/>
      <c r="AI864" s="109"/>
      <c r="AJ864" s="109"/>
      <c r="AK864" s="109"/>
      <c r="AL864" s="109"/>
      <c r="AM864" s="109"/>
      <c r="AN864" s="109"/>
      <c r="AO864" s="109"/>
      <c r="AP864" s="109"/>
      <c r="AQ864" s="109"/>
      <c r="AR864" s="109"/>
      <c r="AS864" s="109"/>
      <c r="AT864" s="109"/>
      <c r="AU864" s="109"/>
      <c r="AV864" s="109"/>
      <c r="AW864" s="109"/>
      <c r="AX864" s="109"/>
      <c r="AY864" s="109"/>
      <c r="AZ864" s="109"/>
    </row>
    <row r="865" spans="20:52" x14ac:dyDescent="0.45">
      <c r="T865" s="109"/>
      <c r="U865" s="109"/>
      <c r="V865" s="109"/>
      <c r="W865" s="109"/>
      <c r="X865" s="109"/>
      <c r="Y865" s="109"/>
      <c r="Z865" s="109"/>
      <c r="AA865" s="109"/>
      <c r="AB865" s="109"/>
      <c r="AC865" s="109"/>
      <c r="AD865" s="109"/>
      <c r="AE865" s="109"/>
      <c r="AF865" s="109"/>
      <c r="AG865" s="109"/>
      <c r="AH865" s="109"/>
      <c r="AI865" s="109"/>
      <c r="AJ865" s="109"/>
      <c r="AK865" s="109"/>
      <c r="AL865" s="109"/>
      <c r="AM865" s="109"/>
      <c r="AN865" s="109"/>
      <c r="AO865" s="109"/>
      <c r="AP865" s="109"/>
      <c r="AQ865" s="109"/>
      <c r="AR865" s="109"/>
      <c r="AS865" s="109"/>
      <c r="AT865" s="109"/>
      <c r="AU865" s="109"/>
      <c r="AV865" s="109"/>
      <c r="AW865" s="109"/>
      <c r="AX865" s="109"/>
      <c r="AY865" s="109"/>
      <c r="AZ865" s="109"/>
    </row>
    <row r="866" spans="20:52" x14ac:dyDescent="0.45">
      <c r="T866" s="109"/>
      <c r="U866" s="109"/>
      <c r="V866" s="109"/>
      <c r="W866" s="109"/>
      <c r="X866" s="109"/>
      <c r="Y866" s="109"/>
      <c r="Z866" s="109"/>
      <c r="AA866" s="109"/>
      <c r="AB866" s="109"/>
      <c r="AC866" s="109"/>
      <c r="AD866" s="109"/>
      <c r="AE866" s="109"/>
      <c r="AF866" s="109"/>
      <c r="AG866" s="109"/>
      <c r="AH866" s="109"/>
      <c r="AI866" s="109"/>
      <c r="AJ866" s="109"/>
      <c r="AK866" s="109"/>
      <c r="AL866" s="109"/>
      <c r="AM866" s="109"/>
      <c r="AN866" s="109"/>
      <c r="AO866" s="109"/>
      <c r="AP866" s="109"/>
      <c r="AQ866" s="109"/>
      <c r="AR866" s="109"/>
      <c r="AS866" s="109"/>
      <c r="AT866" s="109"/>
      <c r="AU866" s="109"/>
      <c r="AV866" s="109"/>
      <c r="AW866" s="109"/>
      <c r="AX866" s="109"/>
      <c r="AY866" s="109"/>
      <c r="AZ866" s="109"/>
    </row>
    <row r="867" spans="20:52" x14ac:dyDescent="0.45">
      <c r="T867" s="109"/>
      <c r="U867" s="109"/>
      <c r="V867" s="109"/>
      <c r="W867" s="109"/>
      <c r="X867" s="109"/>
      <c r="Y867" s="109"/>
      <c r="Z867" s="109"/>
      <c r="AA867" s="109"/>
      <c r="AB867" s="109"/>
      <c r="AC867" s="109"/>
      <c r="AD867" s="109"/>
      <c r="AE867" s="109"/>
      <c r="AF867" s="109"/>
      <c r="AG867" s="109"/>
      <c r="AH867" s="109"/>
      <c r="AI867" s="109"/>
      <c r="AJ867" s="109"/>
      <c r="AK867" s="109"/>
      <c r="AL867" s="109"/>
      <c r="AM867" s="109"/>
      <c r="AN867" s="109"/>
      <c r="AO867" s="109"/>
      <c r="AP867" s="109"/>
      <c r="AQ867" s="109"/>
      <c r="AR867" s="109"/>
      <c r="AS867" s="109"/>
      <c r="AT867" s="109"/>
      <c r="AU867" s="109"/>
      <c r="AV867" s="109"/>
      <c r="AW867" s="109"/>
      <c r="AX867" s="109"/>
      <c r="AY867" s="109"/>
      <c r="AZ867" s="109"/>
    </row>
    <row r="868" spans="20:52" x14ac:dyDescent="0.45">
      <c r="T868" s="109"/>
      <c r="U868" s="109"/>
      <c r="V868" s="109"/>
      <c r="W868" s="109"/>
      <c r="X868" s="109"/>
      <c r="Y868" s="109"/>
      <c r="Z868" s="109"/>
      <c r="AA868" s="109"/>
      <c r="AB868" s="109"/>
      <c r="AC868" s="109"/>
      <c r="AD868" s="109"/>
      <c r="AE868" s="109"/>
      <c r="AF868" s="109"/>
      <c r="AG868" s="109"/>
      <c r="AH868" s="109"/>
      <c r="AI868" s="109"/>
      <c r="AJ868" s="109"/>
      <c r="AK868" s="109"/>
      <c r="AL868" s="109"/>
      <c r="AM868" s="109"/>
      <c r="AN868" s="109"/>
      <c r="AO868" s="109"/>
      <c r="AP868" s="109"/>
      <c r="AQ868" s="109"/>
      <c r="AR868" s="109"/>
      <c r="AS868" s="109"/>
      <c r="AT868" s="109"/>
      <c r="AU868" s="109"/>
      <c r="AV868" s="109"/>
      <c r="AW868" s="109"/>
      <c r="AX868" s="109"/>
      <c r="AY868" s="109"/>
      <c r="AZ868" s="109"/>
    </row>
    <row r="869" spans="20:52" x14ac:dyDescent="0.45">
      <c r="T869" s="109"/>
      <c r="U869" s="109"/>
      <c r="V869" s="109"/>
      <c r="W869" s="109"/>
      <c r="X869" s="109"/>
      <c r="Y869" s="109"/>
      <c r="Z869" s="109"/>
      <c r="AA869" s="109"/>
      <c r="AB869" s="109"/>
      <c r="AC869" s="109"/>
      <c r="AD869" s="109"/>
      <c r="AE869" s="109"/>
      <c r="AF869" s="109"/>
      <c r="AG869" s="109"/>
      <c r="AH869" s="109"/>
      <c r="AI869" s="109"/>
      <c r="AJ869" s="109"/>
      <c r="AK869" s="109"/>
      <c r="AL869" s="109"/>
      <c r="AM869" s="109"/>
      <c r="AN869" s="109"/>
      <c r="AO869" s="109"/>
      <c r="AP869" s="109"/>
      <c r="AQ869" s="109"/>
      <c r="AR869" s="109"/>
      <c r="AS869" s="109"/>
      <c r="AT869" s="109"/>
      <c r="AU869" s="109"/>
      <c r="AV869" s="109"/>
      <c r="AW869" s="109"/>
      <c r="AX869" s="109"/>
      <c r="AY869" s="109"/>
      <c r="AZ869" s="109"/>
    </row>
    <row r="870" spans="20:52" x14ac:dyDescent="0.45">
      <c r="T870" s="109"/>
      <c r="U870" s="109"/>
      <c r="V870" s="109"/>
      <c r="W870" s="109"/>
      <c r="X870" s="109"/>
      <c r="Y870" s="109"/>
      <c r="Z870" s="109"/>
      <c r="AA870" s="109"/>
      <c r="AB870" s="109"/>
      <c r="AC870" s="109"/>
      <c r="AD870" s="109"/>
      <c r="AE870" s="109"/>
      <c r="AF870" s="109"/>
      <c r="AG870" s="109"/>
      <c r="AH870" s="109"/>
      <c r="AI870" s="109"/>
      <c r="AJ870" s="109"/>
      <c r="AK870" s="109"/>
      <c r="AL870" s="109"/>
      <c r="AM870" s="109"/>
      <c r="AN870" s="109"/>
      <c r="AO870" s="109"/>
      <c r="AP870" s="109"/>
      <c r="AQ870" s="109"/>
      <c r="AR870" s="109"/>
      <c r="AS870" s="109"/>
      <c r="AT870" s="109"/>
      <c r="AU870" s="109"/>
      <c r="AV870" s="109"/>
      <c r="AW870" s="109"/>
      <c r="AX870" s="109"/>
      <c r="AY870" s="109"/>
      <c r="AZ870" s="109"/>
    </row>
    <row r="871" spans="20:52" x14ac:dyDescent="0.45">
      <c r="T871" s="109"/>
      <c r="U871" s="109"/>
      <c r="V871" s="109"/>
      <c r="W871" s="109"/>
      <c r="X871" s="109"/>
      <c r="Y871" s="109"/>
      <c r="Z871" s="109"/>
      <c r="AA871" s="109"/>
      <c r="AB871" s="109"/>
      <c r="AC871" s="109"/>
      <c r="AD871" s="109"/>
      <c r="AE871" s="109"/>
      <c r="AF871" s="109"/>
      <c r="AG871" s="109"/>
      <c r="AH871" s="109"/>
      <c r="AI871" s="109"/>
      <c r="AJ871" s="109"/>
      <c r="AK871" s="109"/>
      <c r="AL871" s="109"/>
      <c r="AM871" s="109"/>
      <c r="AN871" s="109"/>
      <c r="AO871" s="109"/>
      <c r="AP871" s="109"/>
      <c r="AQ871" s="109"/>
      <c r="AR871" s="109"/>
      <c r="AS871" s="109"/>
      <c r="AT871" s="109"/>
      <c r="AU871" s="109"/>
      <c r="AV871" s="109"/>
      <c r="AW871" s="109"/>
      <c r="AX871" s="109"/>
      <c r="AY871" s="109"/>
      <c r="AZ871" s="109"/>
    </row>
    <row r="872" spans="20:52" x14ac:dyDescent="0.45">
      <c r="T872" s="109"/>
      <c r="U872" s="109"/>
      <c r="V872" s="109"/>
      <c r="W872" s="109"/>
      <c r="X872" s="109"/>
      <c r="Y872" s="109"/>
      <c r="Z872" s="109"/>
      <c r="AA872" s="109"/>
      <c r="AB872" s="109"/>
      <c r="AC872" s="109"/>
      <c r="AD872" s="109"/>
      <c r="AE872" s="109"/>
      <c r="AF872" s="109"/>
      <c r="AG872" s="109"/>
      <c r="AH872" s="109"/>
      <c r="AI872" s="109"/>
      <c r="AJ872" s="109"/>
      <c r="AK872" s="109"/>
      <c r="AL872" s="109"/>
      <c r="AM872" s="109"/>
      <c r="AN872" s="109"/>
      <c r="AO872" s="109"/>
      <c r="AP872" s="109"/>
      <c r="AQ872" s="109"/>
      <c r="AR872" s="109"/>
      <c r="AS872" s="109"/>
      <c r="AT872" s="109"/>
      <c r="AU872" s="109"/>
      <c r="AV872" s="109"/>
      <c r="AW872" s="109"/>
      <c r="AX872" s="109"/>
      <c r="AY872" s="109"/>
      <c r="AZ872" s="109"/>
    </row>
    <row r="873" spans="20:52" x14ac:dyDescent="0.45">
      <c r="T873" s="109"/>
      <c r="U873" s="109"/>
      <c r="V873" s="109"/>
      <c r="W873" s="109"/>
      <c r="X873" s="109"/>
      <c r="Y873" s="109"/>
      <c r="Z873" s="109"/>
      <c r="AA873" s="109"/>
      <c r="AB873" s="109"/>
      <c r="AC873" s="109"/>
      <c r="AD873" s="109"/>
      <c r="AE873" s="109"/>
      <c r="AF873" s="109"/>
      <c r="AG873" s="109"/>
      <c r="AH873" s="109"/>
      <c r="AI873" s="109"/>
      <c r="AJ873" s="109"/>
      <c r="AK873" s="109"/>
      <c r="AL873" s="109"/>
      <c r="AM873" s="109"/>
      <c r="AN873" s="109"/>
      <c r="AO873" s="109"/>
      <c r="AP873" s="109"/>
      <c r="AQ873" s="109"/>
      <c r="AR873" s="109"/>
      <c r="AS873" s="109"/>
      <c r="AT873" s="109"/>
      <c r="AU873" s="109"/>
      <c r="AV873" s="109"/>
      <c r="AW873" s="109"/>
      <c r="AX873" s="109"/>
      <c r="AY873" s="109"/>
      <c r="AZ873" s="109"/>
    </row>
    <row r="874" spans="20:52" x14ac:dyDescent="0.45">
      <c r="T874" s="109"/>
      <c r="U874" s="109"/>
      <c r="V874" s="109"/>
      <c r="W874" s="109"/>
      <c r="X874" s="109"/>
      <c r="Y874" s="109"/>
      <c r="Z874" s="109"/>
      <c r="AA874" s="109"/>
      <c r="AB874" s="109"/>
      <c r="AC874" s="109"/>
      <c r="AD874" s="109"/>
      <c r="AE874" s="109"/>
      <c r="AF874" s="109"/>
      <c r="AG874" s="109"/>
      <c r="AH874" s="109"/>
      <c r="AI874" s="109"/>
      <c r="AJ874" s="109"/>
      <c r="AK874" s="109"/>
      <c r="AL874" s="109"/>
      <c r="AM874" s="109"/>
      <c r="AN874" s="109"/>
      <c r="AO874" s="109"/>
      <c r="AP874" s="109"/>
      <c r="AQ874" s="109"/>
      <c r="AR874" s="109"/>
      <c r="AS874" s="109"/>
      <c r="AT874" s="109"/>
      <c r="AU874" s="109"/>
      <c r="AV874" s="109"/>
      <c r="AW874" s="109"/>
      <c r="AX874" s="109"/>
      <c r="AY874" s="109"/>
      <c r="AZ874" s="109"/>
    </row>
    <row r="875" spans="20:52" x14ac:dyDescent="0.45">
      <c r="T875" s="109"/>
      <c r="U875" s="109"/>
      <c r="V875" s="109"/>
      <c r="W875" s="109"/>
      <c r="X875" s="109"/>
      <c r="Y875" s="109"/>
      <c r="Z875" s="109"/>
      <c r="AA875" s="109"/>
      <c r="AB875" s="109"/>
      <c r="AC875" s="109"/>
      <c r="AD875" s="109"/>
      <c r="AE875" s="109"/>
      <c r="AF875" s="109"/>
      <c r="AG875" s="109"/>
      <c r="AH875" s="109"/>
      <c r="AI875" s="109"/>
      <c r="AJ875" s="109"/>
      <c r="AK875" s="109"/>
      <c r="AL875" s="109"/>
      <c r="AM875" s="109"/>
      <c r="AN875" s="109"/>
      <c r="AO875" s="109"/>
      <c r="AP875" s="109"/>
      <c r="AQ875" s="109"/>
      <c r="AR875" s="109"/>
      <c r="AS875" s="109"/>
      <c r="AT875" s="109"/>
      <c r="AU875" s="109"/>
      <c r="AV875" s="109"/>
      <c r="AW875" s="109"/>
      <c r="AX875" s="109"/>
      <c r="AY875" s="109"/>
      <c r="AZ875" s="109"/>
    </row>
    <row r="876" spans="20:52" x14ac:dyDescent="0.45">
      <c r="T876" s="109"/>
      <c r="U876" s="109"/>
      <c r="V876" s="109"/>
      <c r="W876" s="109"/>
      <c r="X876" s="109"/>
      <c r="Y876" s="109"/>
      <c r="Z876" s="109"/>
      <c r="AA876" s="109"/>
      <c r="AB876" s="109"/>
      <c r="AC876" s="109"/>
      <c r="AD876" s="109"/>
      <c r="AE876" s="109"/>
      <c r="AF876" s="109"/>
      <c r="AG876" s="109"/>
      <c r="AH876" s="109"/>
      <c r="AI876" s="109"/>
      <c r="AJ876" s="109"/>
      <c r="AK876" s="109"/>
      <c r="AL876" s="109"/>
      <c r="AM876" s="109"/>
      <c r="AN876" s="109"/>
      <c r="AO876" s="109"/>
      <c r="AP876" s="109"/>
      <c r="AQ876" s="109"/>
      <c r="AR876" s="109"/>
      <c r="AS876" s="109"/>
      <c r="AT876" s="109"/>
      <c r="AU876" s="109"/>
      <c r="AV876" s="109"/>
      <c r="AW876" s="109"/>
      <c r="AX876" s="109"/>
      <c r="AY876" s="109"/>
      <c r="AZ876" s="109"/>
    </row>
    <row r="877" spans="20:52" x14ac:dyDescent="0.45">
      <c r="T877" s="109"/>
      <c r="U877" s="109"/>
      <c r="V877" s="109"/>
      <c r="W877" s="109"/>
      <c r="X877" s="109"/>
      <c r="Y877" s="109"/>
      <c r="Z877" s="109"/>
      <c r="AA877" s="109"/>
      <c r="AB877" s="109"/>
      <c r="AC877" s="109"/>
      <c r="AD877" s="109"/>
      <c r="AE877" s="109"/>
      <c r="AF877" s="109"/>
      <c r="AG877" s="109"/>
      <c r="AH877" s="109"/>
      <c r="AI877" s="109"/>
      <c r="AJ877" s="109"/>
      <c r="AK877" s="109"/>
      <c r="AL877" s="109"/>
      <c r="AM877" s="109"/>
      <c r="AN877" s="109"/>
      <c r="AO877" s="109"/>
      <c r="AP877" s="109"/>
      <c r="AQ877" s="109"/>
      <c r="AR877" s="109"/>
      <c r="AS877" s="109"/>
      <c r="AT877" s="109"/>
      <c r="AU877" s="109"/>
      <c r="AV877" s="109"/>
      <c r="AW877" s="109"/>
      <c r="AX877" s="109"/>
      <c r="AY877" s="109"/>
      <c r="AZ877" s="109"/>
    </row>
    <row r="878" spans="20:52" x14ac:dyDescent="0.45">
      <c r="T878" s="109"/>
      <c r="U878" s="109"/>
      <c r="V878" s="109"/>
      <c r="W878" s="109"/>
      <c r="X878" s="109"/>
      <c r="Y878" s="109"/>
      <c r="Z878" s="109"/>
      <c r="AA878" s="109"/>
      <c r="AB878" s="109"/>
      <c r="AC878" s="109"/>
      <c r="AD878" s="109"/>
      <c r="AE878" s="109"/>
      <c r="AF878" s="109"/>
      <c r="AG878" s="109"/>
      <c r="AH878" s="109"/>
      <c r="AI878" s="109"/>
      <c r="AJ878" s="109"/>
      <c r="AK878" s="109"/>
      <c r="AL878" s="109"/>
      <c r="AM878" s="109"/>
      <c r="AN878" s="109"/>
      <c r="AO878" s="109"/>
      <c r="AP878" s="109"/>
      <c r="AQ878" s="109"/>
      <c r="AR878" s="109"/>
      <c r="AS878" s="109"/>
      <c r="AT878" s="109"/>
      <c r="AU878" s="109"/>
      <c r="AV878" s="109"/>
      <c r="AW878" s="109"/>
      <c r="AX878" s="109"/>
      <c r="AY878" s="109"/>
      <c r="AZ878" s="109"/>
    </row>
    <row r="879" spans="20:52" x14ac:dyDescent="0.45">
      <c r="T879" s="109"/>
      <c r="U879" s="109"/>
      <c r="V879" s="109"/>
      <c r="W879" s="109"/>
      <c r="X879" s="109"/>
      <c r="Y879" s="109"/>
      <c r="Z879" s="109"/>
      <c r="AA879" s="109"/>
      <c r="AB879" s="109"/>
      <c r="AC879" s="109"/>
      <c r="AD879" s="109"/>
      <c r="AE879" s="109"/>
      <c r="AF879" s="109"/>
      <c r="AG879" s="109"/>
      <c r="AH879" s="109"/>
      <c r="AI879" s="109"/>
      <c r="AJ879" s="109"/>
      <c r="AK879" s="109"/>
      <c r="AL879" s="109"/>
      <c r="AM879" s="109"/>
      <c r="AN879" s="109"/>
      <c r="AO879" s="109"/>
      <c r="AP879" s="109"/>
      <c r="AQ879" s="109"/>
      <c r="AR879" s="109"/>
      <c r="AS879" s="109"/>
      <c r="AT879" s="109"/>
      <c r="AU879" s="109"/>
      <c r="AV879" s="109"/>
      <c r="AW879" s="109"/>
      <c r="AX879" s="109"/>
      <c r="AY879" s="109"/>
      <c r="AZ879" s="109"/>
    </row>
    <row r="880" spans="20:52" x14ac:dyDescent="0.45">
      <c r="T880" s="109"/>
      <c r="U880" s="109"/>
      <c r="V880" s="109"/>
      <c r="W880" s="109"/>
      <c r="X880" s="109"/>
      <c r="Y880" s="109"/>
      <c r="Z880" s="109"/>
      <c r="AA880" s="109"/>
      <c r="AB880" s="109"/>
      <c r="AC880" s="109"/>
      <c r="AD880" s="109"/>
      <c r="AE880" s="109"/>
      <c r="AF880" s="109"/>
      <c r="AG880" s="109"/>
      <c r="AH880" s="109"/>
      <c r="AI880" s="109"/>
      <c r="AJ880" s="109"/>
      <c r="AK880" s="109"/>
      <c r="AL880" s="109"/>
      <c r="AM880" s="109"/>
      <c r="AN880" s="109"/>
      <c r="AO880" s="109"/>
      <c r="AP880" s="109"/>
      <c r="AQ880" s="109"/>
      <c r="AR880" s="109"/>
      <c r="AS880" s="109"/>
      <c r="AT880" s="109"/>
      <c r="AU880" s="109"/>
      <c r="AV880" s="109"/>
      <c r="AW880" s="109"/>
      <c r="AX880" s="109"/>
      <c r="AY880" s="109"/>
      <c r="AZ880" s="109"/>
    </row>
    <row r="881" spans="20:52" x14ac:dyDescent="0.45">
      <c r="T881" s="109"/>
      <c r="U881" s="109"/>
      <c r="V881" s="109"/>
      <c r="W881" s="109"/>
      <c r="X881" s="109"/>
      <c r="Y881" s="109"/>
      <c r="Z881" s="109"/>
      <c r="AA881" s="109"/>
      <c r="AB881" s="109"/>
      <c r="AC881" s="109"/>
      <c r="AD881" s="109"/>
      <c r="AE881" s="109"/>
      <c r="AF881" s="109"/>
      <c r="AG881" s="109"/>
      <c r="AH881" s="109"/>
      <c r="AI881" s="109"/>
      <c r="AJ881" s="109"/>
      <c r="AK881" s="109"/>
      <c r="AL881" s="109"/>
      <c r="AM881" s="109"/>
      <c r="AN881" s="109"/>
      <c r="AO881" s="109"/>
      <c r="AP881" s="109"/>
      <c r="AQ881" s="109"/>
      <c r="AR881" s="109"/>
      <c r="AS881" s="109"/>
      <c r="AT881" s="109"/>
      <c r="AU881" s="109"/>
      <c r="AV881" s="109"/>
      <c r="AW881" s="109"/>
      <c r="AX881" s="109"/>
      <c r="AY881" s="109"/>
      <c r="AZ881" s="109"/>
    </row>
    <row r="882" spans="20:52" x14ac:dyDescent="0.45">
      <c r="T882" s="109"/>
      <c r="U882" s="109"/>
      <c r="V882" s="109"/>
      <c r="W882" s="109"/>
      <c r="X882" s="109"/>
      <c r="Y882" s="109"/>
      <c r="Z882" s="109"/>
      <c r="AA882" s="109"/>
      <c r="AB882" s="109"/>
      <c r="AC882" s="109"/>
      <c r="AD882" s="109"/>
      <c r="AE882" s="109"/>
      <c r="AF882" s="109"/>
      <c r="AG882" s="109"/>
      <c r="AH882" s="109"/>
      <c r="AI882" s="109"/>
      <c r="AJ882" s="109"/>
      <c r="AK882" s="109"/>
      <c r="AL882" s="109"/>
      <c r="AM882" s="109"/>
      <c r="AN882" s="109"/>
      <c r="AO882" s="109"/>
      <c r="AP882" s="109"/>
      <c r="AQ882" s="109"/>
      <c r="AR882" s="109"/>
      <c r="AS882" s="109"/>
      <c r="AT882" s="109"/>
      <c r="AU882" s="109"/>
      <c r="AV882" s="109"/>
      <c r="AW882" s="109"/>
      <c r="AX882" s="109"/>
      <c r="AY882" s="109"/>
      <c r="AZ882" s="109"/>
    </row>
    <row r="883" spans="20:52" x14ac:dyDescent="0.45">
      <c r="T883" s="109"/>
      <c r="U883" s="109"/>
      <c r="V883" s="109"/>
      <c r="W883" s="109"/>
      <c r="X883" s="109"/>
      <c r="Y883" s="109"/>
      <c r="Z883" s="109"/>
      <c r="AA883" s="109"/>
      <c r="AB883" s="109"/>
      <c r="AC883" s="109"/>
      <c r="AD883" s="109"/>
      <c r="AE883" s="109"/>
      <c r="AF883" s="109"/>
      <c r="AG883" s="109"/>
      <c r="AH883" s="109"/>
      <c r="AI883" s="109"/>
      <c r="AJ883" s="109"/>
      <c r="AK883" s="109"/>
      <c r="AL883" s="109"/>
      <c r="AM883" s="109"/>
      <c r="AN883" s="109"/>
      <c r="AO883" s="109"/>
      <c r="AP883" s="109"/>
      <c r="AQ883" s="109"/>
      <c r="AR883" s="109"/>
      <c r="AS883" s="109"/>
      <c r="AT883" s="109"/>
      <c r="AU883" s="109"/>
      <c r="AV883" s="109"/>
      <c r="AW883" s="109"/>
      <c r="AX883" s="109"/>
      <c r="AY883" s="109"/>
      <c r="AZ883" s="109"/>
    </row>
    <row r="884" spans="20:52" x14ac:dyDescent="0.45">
      <c r="T884" s="109"/>
      <c r="U884" s="109"/>
      <c r="V884" s="109"/>
      <c r="W884" s="109"/>
      <c r="X884" s="109"/>
      <c r="Y884" s="109"/>
      <c r="Z884" s="109"/>
      <c r="AA884" s="109"/>
      <c r="AB884" s="109"/>
      <c r="AC884" s="109"/>
      <c r="AD884" s="109"/>
      <c r="AE884" s="109"/>
      <c r="AF884" s="109"/>
      <c r="AG884" s="109"/>
      <c r="AH884" s="109"/>
      <c r="AI884" s="109"/>
      <c r="AJ884" s="109"/>
      <c r="AK884" s="109"/>
      <c r="AL884" s="109"/>
      <c r="AM884" s="109"/>
      <c r="AN884" s="109"/>
      <c r="AO884" s="109"/>
      <c r="AP884" s="109"/>
      <c r="AQ884" s="109"/>
      <c r="AR884" s="109"/>
      <c r="AS884" s="109"/>
      <c r="AT884" s="109"/>
      <c r="AU884" s="109"/>
      <c r="AV884" s="109"/>
      <c r="AW884" s="109"/>
      <c r="AX884" s="109"/>
      <c r="AY884" s="109"/>
      <c r="AZ884" s="109"/>
    </row>
    <row r="885" spans="20:52" x14ac:dyDescent="0.45">
      <c r="T885" s="109"/>
      <c r="U885" s="109"/>
      <c r="V885" s="109"/>
      <c r="W885" s="109"/>
      <c r="X885" s="109"/>
      <c r="Y885" s="109"/>
      <c r="Z885" s="109"/>
      <c r="AA885" s="109"/>
      <c r="AB885" s="109"/>
      <c r="AC885" s="109"/>
      <c r="AD885" s="109"/>
      <c r="AE885" s="109"/>
      <c r="AF885" s="109"/>
      <c r="AG885" s="109"/>
      <c r="AH885" s="109"/>
      <c r="AI885" s="109"/>
      <c r="AJ885" s="109"/>
      <c r="AK885" s="109"/>
      <c r="AL885" s="109"/>
      <c r="AM885" s="109"/>
      <c r="AN885" s="109"/>
      <c r="AO885" s="109"/>
      <c r="AP885" s="109"/>
      <c r="AQ885" s="109"/>
      <c r="AR885" s="109"/>
      <c r="AS885" s="109"/>
      <c r="AT885" s="109"/>
      <c r="AU885" s="109"/>
      <c r="AV885" s="109"/>
      <c r="AW885" s="109"/>
      <c r="AX885" s="109"/>
      <c r="AY885" s="109"/>
      <c r="AZ885" s="109"/>
    </row>
    <row r="886" spans="20:52" x14ac:dyDescent="0.45">
      <c r="T886" s="109"/>
      <c r="U886" s="109"/>
      <c r="V886" s="109"/>
      <c r="W886" s="109"/>
      <c r="X886" s="109"/>
      <c r="Y886" s="109"/>
      <c r="Z886" s="109"/>
      <c r="AA886" s="109"/>
      <c r="AB886" s="109"/>
      <c r="AC886" s="109"/>
      <c r="AD886" s="109"/>
      <c r="AE886" s="109"/>
      <c r="AF886" s="109"/>
      <c r="AG886" s="109"/>
      <c r="AH886" s="109"/>
      <c r="AI886" s="109"/>
      <c r="AJ886" s="109"/>
      <c r="AK886" s="109"/>
      <c r="AL886" s="109"/>
      <c r="AM886" s="109"/>
      <c r="AN886" s="109"/>
      <c r="AO886" s="109"/>
      <c r="AP886" s="109"/>
      <c r="AQ886" s="109"/>
      <c r="AR886" s="109"/>
      <c r="AS886" s="109"/>
      <c r="AT886" s="109"/>
      <c r="AU886" s="109"/>
      <c r="AV886" s="109"/>
      <c r="AW886" s="109"/>
      <c r="AX886" s="109"/>
      <c r="AY886" s="109"/>
      <c r="AZ886" s="109"/>
    </row>
    <row r="887" spans="20:52" x14ac:dyDescent="0.45">
      <c r="T887" s="109"/>
      <c r="U887" s="109"/>
      <c r="V887" s="109"/>
      <c r="W887" s="109"/>
      <c r="X887" s="109"/>
      <c r="Y887" s="109"/>
      <c r="Z887" s="109"/>
      <c r="AA887" s="109"/>
      <c r="AB887" s="109"/>
      <c r="AC887" s="109"/>
      <c r="AD887" s="109"/>
      <c r="AE887" s="109"/>
      <c r="AF887" s="109"/>
      <c r="AG887" s="109"/>
      <c r="AH887" s="109"/>
      <c r="AI887" s="109"/>
      <c r="AJ887" s="109"/>
      <c r="AK887" s="109"/>
      <c r="AL887" s="109"/>
      <c r="AM887" s="109"/>
      <c r="AN887" s="109"/>
      <c r="AO887" s="109"/>
      <c r="AP887" s="109"/>
      <c r="AQ887" s="109"/>
      <c r="AR887" s="109"/>
      <c r="AS887" s="109"/>
      <c r="AT887" s="109"/>
      <c r="AU887" s="109"/>
      <c r="AV887" s="109"/>
      <c r="AW887" s="109"/>
      <c r="AX887" s="109"/>
      <c r="AY887" s="109"/>
      <c r="AZ887" s="109"/>
    </row>
    <row r="888" spans="20:52" x14ac:dyDescent="0.45">
      <c r="T888" s="109"/>
      <c r="U888" s="109"/>
      <c r="V888" s="109"/>
      <c r="W888" s="109"/>
      <c r="X888" s="109"/>
      <c r="Y888" s="109"/>
      <c r="Z888" s="109"/>
      <c r="AA888" s="109"/>
      <c r="AB888" s="109"/>
      <c r="AC888" s="109"/>
      <c r="AD888" s="109"/>
      <c r="AE888" s="109"/>
      <c r="AF888" s="109"/>
      <c r="AG888" s="109"/>
      <c r="AH888" s="109"/>
      <c r="AI888" s="109"/>
      <c r="AJ888" s="109"/>
      <c r="AK888" s="109"/>
      <c r="AL888" s="109"/>
      <c r="AM888" s="109"/>
      <c r="AN888" s="109"/>
      <c r="AO888" s="109"/>
      <c r="AP888" s="109"/>
      <c r="AQ888" s="109"/>
      <c r="AR888" s="109"/>
      <c r="AS888" s="109"/>
      <c r="AT888" s="109"/>
      <c r="AU888" s="109"/>
      <c r="AV888" s="109"/>
      <c r="AW888" s="109"/>
      <c r="AX888" s="109"/>
      <c r="AY888" s="109"/>
      <c r="AZ888" s="109"/>
    </row>
    <row r="889" spans="20:52" x14ac:dyDescent="0.45">
      <c r="T889" s="109"/>
      <c r="U889" s="109"/>
      <c r="V889" s="109"/>
      <c r="W889" s="109"/>
      <c r="X889" s="109"/>
      <c r="Y889" s="109"/>
      <c r="Z889" s="109"/>
      <c r="AA889" s="109"/>
      <c r="AB889" s="109"/>
      <c r="AC889" s="109"/>
      <c r="AD889" s="109"/>
      <c r="AE889" s="109"/>
      <c r="AF889" s="109"/>
      <c r="AG889" s="109"/>
      <c r="AH889" s="109"/>
      <c r="AI889" s="109"/>
      <c r="AJ889" s="109"/>
      <c r="AK889" s="109"/>
      <c r="AL889" s="109"/>
      <c r="AM889" s="109"/>
      <c r="AN889" s="109"/>
      <c r="AO889" s="109"/>
      <c r="AP889" s="109"/>
      <c r="AQ889" s="109"/>
      <c r="AR889" s="109"/>
      <c r="AS889" s="109"/>
      <c r="AT889" s="109"/>
      <c r="AU889" s="109"/>
      <c r="AV889" s="109"/>
      <c r="AW889" s="109"/>
      <c r="AX889" s="109"/>
      <c r="AY889" s="109"/>
      <c r="AZ889" s="109"/>
    </row>
    <row r="890" spans="20:52" x14ac:dyDescent="0.45">
      <c r="T890" s="109"/>
      <c r="U890" s="109"/>
      <c r="V890" s="109"/>
      <c r="W890" s="109"/>
      <c r="X890" s="109"/>
      <c r="Y890" s="109"/>
      <c r="Z890" s="109"/>
      <c r="AA890" s="109"/>
      <c r="AB890" s="109"/>
      <c r="AC890" s="109"/>
      <c r="AD890" s="109"/>
      <c r="AE890" s="109"/>
      <c r="AF890" s="109"/>
      <c r="AG890" s="109"/>
      <c r="AH890" s="109"/>
      <c r="AI890" s="109"/>
      <c r="AJ890" s="109"/>
      <c r="AK890" s="109"/>
      <c r="AL890" s="109"/>
      <c r="AM890" s="109"/>
      <c r="AN890" s="109"/>
      <c r="AO890" s="109"/>
      <c r="AP890" s="109"/>
      <c r="AQ890" s="109"/>
      <c r="AR890" s="109"/>
      <c r="AS890" s="109"/>
      <c r="AT890" s="109"/>
      <c r="AU890" s="109"/>
      <c r="AV890" s="109"/>
      <c r="AW890" s="109"/>
      <c r="AX890" s="109"/>
      <c r="AY890" s="109"/>
      <c r="AZ890" s="109"/>
    </row>
    <row r="891" spans="20:52" x14ac:dyDescent="0.45">
      <c r="T891" s="109"/>
      <c r="U891" s="109"/>
      <c r="V891" s="109"/>
      <c r="W891" s="109"/>
      <c r="X891" s="109"/>
      <c r="Y891" s="109"/>
      <c r="Z891" s="109"/>
      <c r="AA891" s="109"/>
      <c r="AB891" s="109"/>
      <c r="AC891" s="109"/>
      <c r="AD891" s="109"/>
      <c r="AE891" s="109"/>
      <c r="AF891" s="109"/>
      <c r="AG891" s="109"/>
      <c r="AH891" s="109"/>
      <c r="AI891" s="109"/>
      <c r="AJ891" s="109"/>
      <c r="AK891" s="109"/>
      <c r="AL891" s="109"/>
      <c r="AM891" s="109"/>
      <c r="AN891" s="109"/>
      <c r="AO891" s="109"/>
      <c r="AP891" s="109"/>
      <c r="AQ891" s="109"/>
      <c r="AR891" s="109"/>
      <c r="AS891" s="109"/>
      <c r="AT891" s="109"/>
      <c r="AU891" s="109"/>
      <c r="AV891" s="109"/>
      <c r="AW891" s="109"/>
      <c r="AX891" s="109"/>
      <c r="AY891" s="109"/>
      <c r="AZ891" s="109"/>
    </row>
    <row r="892" spans="20:52" x14ac:dyDescent="0.45">
      <c r="T892" s="109"/>
      <c r="U892" s="109"/>
      <c r="V892" s="109"/>
      <c r="W892" s="109"/>
      <c r="X892" s="109"/>
      <c r="Y892" s="109"/>
      <c r="Z892" s="109"/>
      <c r="AA892" s="109"/>
      <c r="AB892" s="109"/>
      <c r="AC892" s="109"/>
      <c r="AD892" s="109"/>
      <c r="AE892" s="109"/>
      <c r="AF892" s="109"/>
      <c r="AG892" s="109"/>
      <c r="AH892" s="109"/>
      <c r="AI892" s="109"/>
      <c r="AJ892" s="109"/>
      <c r="AK892" s="109"/>
      <c r="AL892" s="109"/>
      <c r="AM892" s="109"/>
      <c r="AN892" s="109"/>
      <c r="AO892" s="109"/>
      <c r="AP892" s="109"/>
      <c r="AQ892" s="109"/>
      <c r="AR892" s="109"/>
      <c r="AS892" s="109"/>
      <c r="AT892" s="109"/>
      <c r="AU892" s="109"/>
      <c r="AV892" s="109"/>
      <c r="AW892" s="109"/>
      <c r="AX892" s="109"/>
      <c r="AY892" s="109"/>
      <c r="AZ892" s="109"/>
    </row>
    <row r="893" spans="20:52" x14ac:dyDescent="0.45">
      <c r="T893" s="109"/>
      <c r="U893" s="109"/>
      <c r="V893" s="109"/>
      <c r="W893" s="109"/>
      <c r="X893" s="109"/>
      <c r="Y893" s="109"/>
      <c r="Z893" s="109"/>
      <c r="AA893" s="109"/>
      <c r="AB893" s="109"/>
      <c r="AC893" s="109"/>
      <c r="AD893" s="109"/>
      <c r="AE893" s="109"/>
      <c r="AF893" s="109"/>
      <c r="AG893" s="109"/>
      <c r="AH893" s="109"/>
      <c r="AI893" s="109"/>
      <c r="AJ893" s="109"/>
      <c r="AK893" s="109"/>
      <c r="AL893" s="109"/>
      <c r="AM893" s="109"/>
      <c r="AN893" s="109"/>
      <c r="AO893" s="109"/>
      <c r="AP893" s="109"/>
      <c r="AQ893" s="109"/>
      <c r="AR893" s="109"/>
      <c r="AS893" s="109"/>
      <c r="AT893" s="109"/>
      <c r="AU893" s="109"/>
      <c r="AV893" s="109"/>
      <c r="AW893" s="109"/>
      <c r="AX893" s="109"/>
      <c r="AY893" s="109"/>
      <c r="AZ893" s="109"/>
    </row>
    <row r="894" spans="20:52" x14ac:dyDescent="0.45">
      <c r="T894" s="109"/>
      <c r="U894" s="109"/>
      <c r="V894" s="109"/>
      <c r="W894" s="109"/>
      <c r="X894" s="109"/>
      <c r="Y894" s="109"/>
      <c r="Z894" s="109"/>
      <c r="AA894" s="109"/>
      <c r="AB894" s="109"/>
      <c r="AC894" s="109"/>
      <c r="AD894" s="109"/>
      <c r="AE894" s="109"/>
      <c r="AF894" s="109"/>
      <c r="AG894" s="109"/>
      <c r="AH894" s="109"/>
      <c r="AI894" s="109"/>
      <c r="AJ894" s="109"/>
      <c r="AK894" s="109"/>
      <c r="AL894" s="109"/>
      <c r="AM894" s="109"/>
      <c r="AN894" s="109"/>
      <c r="AO894" s="109"/>
      <c r="AP894" s="109"/>
      <c r="AQ894" s="109"/>
      <c r="AR894" s="109"/>
      <c r="AS894" s="109"/>
      <c r="AT894" s="109"/>
      <c r="AU894" s="109"/>
      <c r="AV894" s="109"/>
      <c r="AW894" s="109"/>
      <c r="AX894" s="109"/>
      <c r="AY894" s="109"/>
      <c r="AZ894" s="109"/>
    </row>
    <row r="895" spans="20:52" x14ac:dyDescent="0.45">
      <c r="T895" s="109"/>
      <c r="U895" s="109"/>
      <c r="V895" s="109"/>
      <c r="W895" s="109"/>
      <c r="X895" s="109"/>
      <c r="Y895" s="109"/>
      <c r="Z895" s="109"/>
      <c r="AA895" s="109"/>
      <c r="AB895" s="109"/>
      <c r="AC895" s="109"/>
      <c r="AD895" s="109"/>
      <c r="AE895" s="109"/>
      <c r="AF895" s="109"/>
      <c r="AG895" s="109"/>
      <c r="AH895" s="109"/>
      <c r="AI895" s="109"/>
      <c r="AJ895" s="109"/>
      <c r="AK895" s="109"/>
      <c r="AL895" s="109"/>
      <c r="AM895" s="109"/>
      <c r="AN895" s="109"/>
      <c r="AO895" s="109"/>
      <c r="AP895" s="109"/>
      <c r="AQ895" s="109"/>
      <c r="AR895" s="109"/>
      <c r="AS895" s="109"/>
      <c r="AT895" s="109"/>
      <c r="AU895" s="109"/>
      <c r="AV895" s="109"/>
      <c r="AW895" s="109"/>
      <c r="AX895" s="109"/>
      <c r="AY895" s="109"/>
      <c r="AZ895" s="109"/>
    </row>
    <row r="896" spans="20:52" x14ac:dyDescent="0.45">
      <c r="T896" s="109"/>
      <c r="U896" s="109"/>
      <c r="V896" s="109"/>
      <c r="W896" s="109"/>
      <c r="X896" s="109"/>
      <c r="Y896" s="109"/>
      <c r="Z896" s="109"/>
      <c r="AA896" s="109"/>
      <c r="AB896" s="109"/>
      <c r="AC896" s="109"/>
      <c r="AD896" s="109"/>
      <c r="AE896" s="109"/>
      <c r="AF896" s="109"/>
      <c r="AG896" s="109"/>
      <c r="AH896" s="109"/>
      <c r="AI896" s="109"/>
      <c r="AJ896" s="109"/>
      <c r="AK896" s="109"/>
      <c r="AL896" s="109"/>
      <c r="AM896" s="109"/>
      <c r="AN896" s="109"/>
      <c r="AO896" s="109"/>
      <c r="AP896" s="109"/>
      <c r="AQ896" s="109"/>
      <c r="AR896" s="109"/>
      <c r="AS896" s="109"/>
      <c r="AT896" s="109"/>
      <c r="AU896" s="109"/>
      <c r="AV896" s="109"/>
      <c r="AW896" s="109"/>
      <c r="AX896" s="109"/>
      <c r="AY896" s="109"/>
      <c r="AZ896" s="109"/>
    </row>
    <row r="897" spans="20:52" x14ac:dyDescent="0.45">
      <c r="T897" s="109"/>
      <c r="U897" s="109"/>
      <c r="V897" s="109"/>
      <c r="W897" s="109"/>
      <c r="X897" s="109"/>
      <c r="Y897" s="109"/>
      <c r="Z897" s="109"/>
      <c r="AA897" s="109"/>
      <c r="AB897" s="109"/>
      <c r="AC897" s="109"/>
      <c r="AD897" s="109"/>
      <c r="AE897" s="109"/>
      <c r="AF897" s="109"/>
      <c r="AG897" s="109"/>
      <c r="AH897" s="109"/>
      <c r="AI897" s="109"/>
      <c r="AJ897" s="109"/>
      <c r="AK897" s="109"/>
      <c r="AL897" s="109"/>
      <c r="AM897" s="109"/>
      <c r="AN897" s="109"/>
      <c r="AO897" s="109"/>
      <c r="AP897" s="109"/>
      <c r="AQ897" s="109"/>
      <c r="AR897" s="109"/>
      <c r="AS897" s="109"/>
      <c r="AT897" s="109"/>
      <c r="AU897" s="109"/>
      <c r="AV897" s="109"/>
      <c r="AW897" s="109"/>
      <c r="AX897" s="109"/>
      <c r="AY897" s="109"/>
      <c r="AZ897" s="109"/>
    </row>
    <row r="898" spans="20:52" x14ac:dyDescent="0.45">
      <c r="T898" s="109"/>
      <c r="U898" s="109"/>
      <c r="V898" s="109"/>
      <c r="W898" s="109"/>
      <c r="X898" s="109"/>
      <c r="Y898" s="109"/>
      <c r="Z898" s="109"/>
      <c r="AA898" s="109"/>
      <c r="AB898" s="109"/>
      <c r="AC898" s="109"/>
      <c r="AD898" s="109"/>
      <c r="AE898" s="109"/>
      <c r="AF898" s="109"/>
      <c r="AG898" s="109"/>
      <c r="AH898" s="109"/>
      <c r="AI898" s="109"/>
      <c r="AJ898" s="109"/>
      <c r="AK898" s="109"/>
      <c r="AL898" s="109"/>
      <c r="AM898" s="109"/>
      <c r="AN898" s="109"/>
      <c r="AO898" s="109"/>
      <c r="AP898" s="109"/>
      <c r="AQ898" s="109"/>
      <c r="AR898" s="109"/>
      <c r="AS898" s="109"/>
      <c r="AT898" s="109"/>
      <c r="AU898" s="109"/>
      <c r="AV898" s="109"/>
      <c r="AW898" s="109"/>
      <c r="AX898" s="109"/>
      <c r="AY898" s="109"/>
      <c r="AZ898" s="109"/>
    </row>
    <row r="899" spans="20:52" x14ac:dyDescent="0.45">
      <c r="T899" s="109"/>
      <c r="U899" s="109"/>
      <c r="V899" s="109"/>
      <c r="W899" s="109"/>
      <c r="X899" s="109"/>
      <c r="Y899" s="109"/>
      <c r="Z899" s="109"/>
      <c r="AA899" s="109"/>
      <c r="AB899" s="109"/>
      <c r="AC899" s="109"/>
      <c r="AD899" s="109"/>
      <c r="AE899" s="109"/>
      <c r="AF899" s="109"/>
      <c r="AG899" s="109"/>
      <c r="AH899" s="109"/>
      <c r="AI899" s="109"/>
      <c r="AJ899" s="109"/>
      <c r="AK899" s="109"/>
      <c r="AL899" s="109"/>
      <c r="AM899" s="109"/>
      <c r="AN899" s="109"/>
      <c r="AO899" s="109"/>
      <c r="AP899" s="109"/>
      <c r="AQ899" s="109"/>
      <c r="AR899" s="109"/>
      <c r="AS899" s="109"/>
      <c r="AT899" s="109"/>
      <c r="AU899" s="109"/>
      <c r="AV899" s="109"/>
      <c r="AW899" s="109"/>
      <c r="AX899" s="109"/>
      <c r="AY899" s="109"/>
      <c r="AZ899" s="109"/>
    </row>
    <row r="900" spans="20:52" x14ac:dyDescent="0.45">
      <c r="T900" s="109"/>
      <c r="U900" s="109"/>
      <c r="V900" s="109"/>
      <c r="W900" s="109"/>
      <c r="X900" s="109"/>
      <c r="Y900" s="109"/>
      <c r="Z900" s="109"/>
      <c r="AA900" s="109"/>
      <c r="AB900" s="109"/>
      <c r="AC900" s="109"/>
      <c r="AD900" s="109"/>
      <c r="AE900" s="109"/>
      <c r="AF900" s="109"/>
      <c r="AG900" s="109"/>
      <c r="AH900" s="109"/>
      <c r="AI900" s="109"/>
      <c r="AJ900" s="109"/>
      <c r="AK900" s="109"/>
      <c r="AL900" s="109"/>
      <c r="AM900" s="109"/>
      <c r="AN900" s="109"/>
      <c r="AO900" s="109"/>
      <c r="AP900" s="109"/>
      <c r="AQ900" s="109"/>
      <c r="AR900" s="109"/>
      <c r="AS900" s="109"/>
      <c r="AT900" s="109"/>
      <c r="AU900" s="109"/>
      <c r="AV900" s="109"/>
      <c r="AW900" s="109"/>
      <c r="AX900" s="109"/>
      <c r="AY900" s="109"/>
      <c r="AZ900" s="109"/>
    </row>
    <row r="901" spans="20:52" x14ac:dyDescent="0.45">
      <c r="T901" s="109"/>
      <c r="U901" s="109"/>
      <c r="V901" s="109"/>
      <c r="W901" s="109"/>
      <c r="X901" s="109"/>
      <c r="Y901" s="109"/>
      <c r="Z901" s="109"/>
      <c r="AA901" s="109"/>
      <c r="AB901" s="109"/>
      <c r="AC901" s="109"/>
      <c r="AD901" s="109"/>
      <c r="AE901" s="109"/>
      <c r="AF901" s="109"/>
      <c r="AG901" s="109"/>
      <c r="AH901" s="109"/>
      <c r="AI901" s="109"/>
      <c r="AJ901" s="109"/>
      <c r="AK901" s="109"/>
      <c r="AL901" s="109"/>
      <c r="AM901" s="109"/>
      <c r="AN901" s="109"/>
      <c r="AO901" s="109"/>
      <c r="AP901" s="109"/>
      <c r="AQ901" s="109"/>
      <c r="AR901" s="109"/>
      <c r="AS901" s="109"/>
      <c r="AT901" s="109"/>
      <c r="AU901" s="109"/>
      <c r="AV901" s="109"/>
      <c r="AW901" s="109"/>
      <c r="AX901" s="109"/>
      <c r="AY901" s="109"/>
      <c r="AZ901" s="109"/>
    </row>
    <row r="902" spans="20:52" x14ac:dyDescent="0.45">
      <c r="T902" s="109"/>
      <c r="U902" s="109"/>
      <c r="V902" s="109"/>
      <c r="W902" s="109"/>
      <c r="X902" s="109"/>
      <c r="Y902" s="109"/>
      <c r="Z902" s="109"/>
      <c r="AA902" s="109"/>
      <c r="AB902" s="109"/>
      <c r="AC902" s="109"/>
      <c r="AD902" s="109"/>
      <c r="AE902" s="109"/>
      <c r="AF902" s="109"/>
      <c r="AG902" s="109"/>
      <c r="AH902" s="109"/>
      <c r="AI902" s="109"/>
      <c r="AJ902" s="109"/>
      <c r="AK902" s="109"/>
      <c r="AL902" s="109"/>
      <c r="AM902" s="109"/>
      <c r="AN902" s="109"/>
      <c r="AO902" s="109"/>
      <c r="AP902" s="109"/>
      <c r="AQ902" s="109"/>
      <c r="AR902" s="109"/>
      <c r="AS902" s="109"/>
      <c r="AT902" s="109"/>
      <c r="AU902" s="109"/>
      <c r="AV902" s="109"/>
      <c r="AW902" s="109"/>
      <c r="AX902" s="109"/>
      <c r="AY902" s="109"/>
      <c r="AZ902" s="109"/>
    </row>
    <row r="903" spans="20:52" x14ac:dyDescent="0.45">
      <c r="T903" s="109"/>
      <c r="U903" s="109"/>
      <c r="V903" s="109"/>
      <c r="W903" s="109"/>
      <c r="X903" s="109"/>
      <c r="Y903" s="109"/>
      <c r="Z903" s="109"/>
      <c r="AA903" s="109"/>
      <c r="AB903" s="109"/>
      <c r="AC903" s="109"/>
      <c r="AD903" s="109"/>
      <c r="AE903" s="109"/>
      <c r="AF903" s="109"/>
      <c r="AG903" s="109"/>
      <c r="AH903" s="109"/>
      <c r="AI903" s="109"/>
      <c r="AJ903" s="109"/>
      <c r="AK903" s="109"/>
      <c r="AL903" s="109"/>
      <c r="AM903" s="109"/>
      <c r="AN903" s="109"/>
      <c r="AO903" s="109"/>
      <c r="AP903" s="109"/>
      <c r="AQ903" s="109"/>
      <c r="AR903" s="109"/>
      <c r="AS903" s="109"/>
      <c r="AT903" s="109"/>
      <c r="AU903" s="109"/>
      <c r="AV903" s="109"/>
      <c r="AW903" s="109"/>
      <c r="AX903" s="109"/>
      <c r="AY903" s="109"/>
      <c r="AZ903" s="109"/>
    </row>
    <row r="904" spans="20:52" x14ac:dyDescent="0.45">
      <c r="T904" s="109"/>
      <c r="U904" s="109"/>
      <c r="V904" s="109"/>
      <c r="W904" s="109"/>
      <c r="X904" s="109"/>
      <c r="Y904" s="109"/>
      <c r="Z904" s="109"/>
      <c r="AA904" s="109"/>
      <c r="AB904" s="109"/>
      <c r="AC904" s="109"/>
      <c r="AD904" s="109"/>
      <c r="AE904" s="109"/>
      <c r="AF904" s="109"/>
      <c r="AG904" s="109"/>
      <c r="AH904" s="109"/>
      <c r="AI904" s="109"/>
      <c r="AJ904" s="109"/>
      <c r="AK904" s="109"/>
      <c r="AL904" s="109"/>
      <c r="AM904" s="109"/>
      <c r="AN904" s="109"/>
      <c r="AO904" s="109"/>
      <c r="AP904" s="109"/>
      <c r="AQ904" s="109"/>
      <c r="AR904" s="109"/>
      <c r="AS904" s="109"/>
      <c r="AT904" s="109"/>
      <c r="AU904" s="109"/>
      <c r="AV904" s="109"/>
      <c r="AW904" s="109"/>
      <c r="AX904" s="109"/>
      <c r="AY904" s="109"/>
      <c r="AZ904" s="109"/>
    </row>
    <row r="905" spans="20:52" x14ac:dyDescent="0.45">
      <c r="T905" s="109"/>
      <c r="U905" s="109"/>
      <c r="V905" s="109"/>
      <c r="W905" s="109"/>
      <c r="X905" s="109"/>
      <c r="Y905" s="109"/>
      <c r="Z905" s="109"/>
      <c r="AA905" s="109"/>
      <c r="AB905" s="109"/>
      <c r="AC905" s="109"/>
      <c r="AD905" s="109"/>
      <c r="AE905" s="109"/>
      <c r="AF905" s="109"/>
      <c r="AG905" s="109"/>
      <c r="AH905" s="109"/>
      <c r="AI905" s="109"/>
      <c r="AJ905" s="109"/>
      <c r="AK905" s="109"/>
      <c r="AL905" s="109"/>
      <c r="AM905" s="109"/>
      <c r="AN905" s="109"/>
      <c r="AO905" s="109"/>
      <c r="AP905" s="109"/>
      <c r="AQ905" s="109"/>
      <c r="AR905" s="109"/>
      <c r="AS905" s="109"/>
      <c r="AT905" s="109"/>
      <c r="AU905" s="109"/>
      <c r="AV905" s="109"/>
      <c r="AW905" s="109"/>
      <c r="AX905" s="109"/>
      <c r="AY905" s="109"/>
      <c r="AZ905" s="109"/>
    </row>
    <row r="906" spans="20:52" x14ac:dyDescent="0.45">
      <c r="T906" s="109"/>
      <c r="U906" s="109"/>
      <c r="V906" s="109"/>
      <c r="W906" s="109"/>
      <c r="X906" s="109"/>
      <c r="Y906" s="109"/>
      <c r="Z906" s="109"/>
      <c r="AA906" s="109"/>
      <c r="AB906" s="109"/>
      <c r="AC906" s="109"/>
      <c r="AD906" s="109"/>
      <c r="AE906" s="109"/>
      <c r="AF906" s="109"/>
      <c r="AG906" s="109"/>
      <c r="AH906" s="109"/>
      <c r="AI906" s="109"/>
      <c r="AJ906" s="109"/>
      <c r="AK906" s="109"/>
      <c r="AL906" s="109"/>
      <c r="AM906" s="109"/>
      <c r="AN906" s="109"/>
      <c r="AO906" s="109"/>
      <c r="AP906" s="109"/>
      <c r="AQ906" s="109"/>
      <c r="AR906" s="109"/>
      <c r="AS906" s="109"/>
      <c r="AT906" s="109"/>
      <c r="AU906" s="109"/>
      <c r="AV906" s="109"/>
      <c r="AW906" s="109"/>
      <c r="AX906" s="109"/>
      <c r="AY906" s="109"/>
      <c r="AZ906" s="109"/>
    </row>
    <row r="907" spans="20:52" x14ac:dyDescent="0.45">
      <c r="T907" s="109"/>
      <c r="U907" s="109"/>
      <c r="V907" s="109"/>
      <c r="W907" s="109"/>
      <c r="X907" s="109"/>
      <c r="Y907" s="109"/>
      <c r="Z907" s="109"/>
      <c r="AA907" s="109"/>
      <c r="AB907" s="109"/>
      <c r="AC907" s="109"/>
      <c r="AD907" s="109"/>
      <c r="AE907" s="109"/>
      <c r="AF907" s="109"/>
      <c r="AG907" s="109"/>
      <c r="AH907" s="109"/>
      <c r="AI907" s="109"/>
      <c r="AJ907" s="109"/>
      <c r="AK907" s="109"/>
      <c r="AL907" s="109"/>
      <c r="AM907" s="109"/>
      <c r="AN907" s="109"/>
      <c r="AO907" s="109"/>
      <c r="AP907" s="109"/>
      <c r="AQ907" s="109"/>
      <c r="AR907" s="109"/>
      <c r="AS907" s="109"/>
      <c r="AT907" s="109"/>
      <c r="AU907" s="109"/>
      <c r="AV907" s="109"/>
      <c r="AW907" s="109"/>
      <c r="AX907" s="109"/>
      <c r="AY907" s="109"/>
      <c r="AZ907" s="109"/>
    </row>
    <row r="908" spans="20:52" x14ac:dyDescent="0.45">
      <c r="T908" s="109"/>
      <c r="U908" s="109"/>
      <c r="V908" s="109"/>
      <c r="W908" s="109"/>
      <c r="X908" s="109"/>
      <c r="Y908" s="109"/>
      <c r="Z908" s="109"/>
      <c r="AA908" s="109"/>
      <c r="AB908" s="109"/>
      <c r="AC908" s="109"/>
      <c r="AD908" s="109"/>
      <c r="AE908" s="109"/>
      <c r="AF908" s="109"/>
      <c r="AG908" s="109"/>
      <c r="AH908" s="109"/>
      <c r="AI908" s="109"/>
      <c r="AJ908" s="109"/>
      <c r="AK908" s="109"/>
      <c r="AL908" s="109"/>
      <c r="AM908" s="109"/>
      <c r="AN908" s="109"/>
      <c r="AO908" s="109"/>
      <c r="AP908" s="109"/>
      <c r="AQ908" s="109"/>
      <c r="AR908" s="109"/>
      <c r="AS908" s="109"/>
      <c r="AT908" s="109"/>
      <c r="AU908" s="109"/>
      <c r="AV908" s="109"/>
      <c r="AW908" s="109"/>
      <c r="AX908" s="109"/>
      <c r="AY908" s="109"/>
      <c r="AZ908" s="109"/>
    </row>
    <row r="909" spans="20:52" x14ac:dyDescent="0.45">
      <c r="T909" s="109"/>
      <c r="U909" s="109"/>
      <c r="V909" s="109"/>
      <c r="W909" s="109"/>
      <c r="X909" s="109"/>
      <c r="Y909" s="109"/>
      <c r="Z909" s="109"/>
      <c r="AA909" s="109"/>
      <c r="AB909" s="109"/>
      <c r="AC909" s="109"/>
      <c r="AD909" s="109"/>
      <c r="AE909" s="109"/>
      <c r="AF909" s="109"/>
      <c r="AG909" s="109"/>
      <c r="AH909" s="109"/>
      <c r="AI909" s="109"/>
      <c r="AJ909" s="109"/>
      <c r="AK909" s="109"/>
      <c r="AL909" s="109"/>
      <c r="AM909" s="109"/>
      <c r="AN909" s="109"/>
      <c r="AO909" s="109"/>
      <c r="AP909" s="109"/>
      <c r="AQ909" s="109"/>
      <c r="AR909" s="109"/>
      <c r="AS909" s="109"/>
      <c r="AT909" s="109"/>
      <c r="AU909" s="109"/>
      <c r="AV909" s="109"/>
      <c r="AW909" s="109"/>
      <c r="AX909" s="109"/>
      <c r="AY909" s="109"/>
      <c r="AZ909" s="109"/>
    </row>
    <row r="910" spans="20:52" x14ac:dyDescent="0.45">
      <c r="T910" s="109"/>
      <c r="U910" s="109"/>
      <c r="V910" s="109"/>
      <c r="W910" s="109"/>
      <c r="X910" s="109"/>
      <c r="Y910" s="109"/>
      <c r="Z910" s="109"/>
      <c r="AA910" s="109"/>
      <c r="AB910" s="109"/>
      <c r="AC910" s="109"/>
      <c r="AD910" s="109"/>
      <c r="AE910" s="109"/>
      <c r="AF910" s="109"/>
      <c r="AG910" s="109"/>
      <c r="AH910" s="109"/>
      <c r="AI910" s="109"/>
      <c r="AJ910" s="109"/>
      <c r="AK910" s="109"/>
      <c r="AL910" s="109"/>
      <c r="AM910" s="109"/>
      <c r="AN910" s="109"/>
      <c r="AO910" s="109"/>
      <c r="AP910" s="109"/>
      <c r="AQ910" s="109"/>
      <c r="AR910" s="109"/>
      <c r="AS910" s="109"/>
      <c r="AT910" s="109"/>
      <c r="AU910" s="109"/>
      <c r="AV910" s="109"/>
      <c r="AW910" s="109"/>
      <c r="AX910" s="109"/>
      <c r="AY910" s="109"/>
      <c r="AZ910" s="109"/>
    </row>
    <row r="911" spans="20:52" x14ac:dyDescent="0.45">
      <c r="T911" s="109"/>
      <c r="U911" s="109"/>
      <c r="V911" s="109"/>
      <c r="W911" s="109"/>
      <c r="X911" s="109"/>
      <c r="Y911" s="109"/>
      <c r="Z911" s="109"/>
      <c r="AA911" s="109"/>
      <c r="AB911" s="109"/>
      <c r="AC911" s="109"/>
      <c r="AD911" s="109"/>
      <c r="AE911" s="109"/>
      <c r="AF911" s="109"/>
      <c r="AG911" s="109"/>
      <c r="AH911" s="109"/>
      <c r="AI911" s="109"/>
      <c r="AJ911" s="109"/>
      <c r="AK911" s="109"/>
      <c r="AL911" s="109"/>
      <c r="AM911" s="109"/>
      <c r="AN911" s="109"/>
      <c r="AO911" s="109"/>
      <c r="AP911" s="109"/>
      <c r="AQ911" s="109"/>
      <c r="AR911" s="109"/>
      <c r="AS911" s="109"/>
      <c r="AT911" s="109"/>
      <c r="AU911" s="109"/>
      <c r="AV911" s="109"/>
      <c r="AW911" s="109"/>
      <c r="AX911" s="109"/>
      <c r="AY911" s="109"/>
      <c r="AZ911" s="109"/>
    </row>
    <row r="912" spans="20:52" x14ac:dyDescent="0.45">
      <c r="T912" s="109"/>
      <c r="U912" s="109"/>
      <c r="V912" s="109"/>
      <c r="W912" s="109"/>
      <c r="X912" s="109"/>
      <c r="Y912" s="109"/>
      <c r="Z912" s="109"/>
      <c r="AA912" s="109"/>
      <c r="AB912" s="109"/>
      <c r="AC912" s="109"/>
      <c r="AD912" s="109"/>
      <c r="AE912" s="109"/>
      <c r="AF912" s="109"/>
      <c r="AG912" s="109"/>
      <c r="AH912" s="109"/>
      <c r="AI912" s="109"/>
      <c r="AJ912" s="109"/>
      <c r="AK912" s="109"/>
      <c r="AL912" s="109"/>
      <c r="AM912" s="109"/>
      <c r="AN912" s="109"/>
      <c r="AO912" s="109"/>
      <c r="AP912" s="109"/>
      <c r="AQ912" s="109"/>
      <c r="AR912" s="109"/>
      <c r="AS912" s="109"/>
      <c r="AT912" s="109"/>
      <c r="AU912" s="109"/>
      <c r="AV912" s="109"/>
      <c r="AW912" s="109"/>
      <c r="AX912" s="109"/>
      <c r="AY912" s="109"/>
      <c r="AZ912" s="109"/>
    </row>
    <row r="913" spans="20:52" x14ac:dyDescent="0.45">
      <c r="T913" s="109"/>
      <c r="U913" s="109"/>
      <c r="V913" s="109"/>
      <c r="W913" s="109"/>
      <c r="X913" s="109"/>
      <c r="Y913" s="109"/>
      <c r="Z913" s="109"/>
      <c r="AA913" s="109"/>
      <c r="AB913" s="109"/>
      <c r="AC913" s="109"/>
      <c r="AD913" s="109"/>
      <c r="AE913" s="109"/>
      <c r="AF913" s="109"/>
      <c r="AG913" s="109"/>
      <c r="AH913" s="109"/>
      <c r="AI913" s="109"/>
      <c r="AJ913" s="109"/>
      <c r="AK913" s="109"/>
      <c r="AL913" s="109"/>
      <c r="AM913" s="109"/>
      <c r="AN913" s="109"/>
      <c r="AO913" s="109"/>
      <c r="AP913" s="109"/>
      <c r="AQ913" s="109"/>
      <c r="AR913" s="109"/>
      <c r="AS913" s="109"/>
      <c r="AT913" s="109"/>
      <c r="AU913" s="109"/>
      <c r="AV913" s="109"/>
      <c r="AW913" s="109"/>
      <c r="AX913" s="109"/>
      <c r="AY913" s="109"/>
      <c r="AZ913" s="109"/>
    </row>
    <row r="914" spans="20:52" x14ac:dyDescent="0.45">
      <c r="T914" s="109"/>
      <c r="U914" s="109"/>
      <c r="V914" s="109"/>
      <c r="W914" s="109"/>
      <c r="X914" s="109"/>
      <c r="Y914" s="109"/>
      <c r="Z914" s="109"/>
      <c r="AA914" s="109"/>
      <c r="AB914" s="109"/>
      <c r="AC914" s="109"/>
      <c r="AD914" s="109"/>
      <c r="AE914" s="109"/>
      <c r="AF914" s="109"/>
      <c r="AG914" s="109"/>
      <c r="AH914" s="109"/>
      <c r="AI914" s="109"/>
      <c r="AJ914" s="109"/>
      <c r="AK914" s="109"/>
      <c r="AL914" s="109"/>
      <c r="AM914" s="109"/>
      <c r="AN914" s="109"/>
      <c r="AO914" s="109"/>
      <c r="AP914" s="109"/>
      <c r="AQ914" s="109"/>
      <c r="AR914" s="109"/>
      <c r="AS914" s="109"/>
      <c r="AT914" s="109"/>
      <c r="AU914" s="109"/>
      <c r="AV914" s="109"/>
      <c r="AW914" s="109"/>
      <c r="AX914" s="109"/>
      <c r="AY914" s="109"/>
      <c r="AZ914" s="109"/>
    </row>
    <row r="915" spans="20:52" x14ac:dyDescent="0.45">
      <c r="T915" s="109"/>
      <c r="U915" s="109"/>
      <c r="V915" s="109"/>
      <c r="W915" s="109"/>
      <c r="X915" s="109"/>
      <c r="Y915" s="109"/>
      <c r="Z915" s="109"/>
      <c r="AA915" s="109"/>
      <c r="AB915" s="109"/>
      <c r="AC915" s="109"/>
      <c r="AD915" s="109"/>
      <c r="AE915" s="109"/>
      <c r="AF915" s="109"/>
      <c r="AG915" s="109"/>
      <c r="AH915" s="109"/>
      <c r="AI915" s="109"/>
      <c r="AJ915" s="109"/>
      <c r="AK915" s="109"/>
      <c r="AL915" s="109"/>
      <c r="AM915" s="109"/>
      <c r="AN915" s="109"/>
      <c r="AO915" s="109"/>
      <c r="AP915" s="109"/>
      <c r="AQ915" s="109"/>
      <c r="AR915" s="109"/>
      <c r="AS915" s="109"/>
      <c r="AT915" s="109"/>
      <c r="AU915" s="109"/>
      <c r="AV915" s="109"/>
      <c r="AW915" s="109"/>
      <c r="AX915" s="109"/>
      <c r="AY915" s="109"/>
      <c r="AZ915" s="109"/>
    </row>
    <row r="916" spans="20:52" x14ac:dyDescent="0.45">
      <c r="T916" s="109"/>
      <c r="U916" s="109"/>
      <c r="V916" s="109"/>
      <c r="W916" s="109"/>
      <c r="X916" s="109"/>
      <c r="Y916" s="109"/>
      <c r="Z916" s="109"/>
      <c r="AA916" s="109"/>
      <c r="AB916" s="109"/>
      <c r="AC916" s="109"/>
      <c r="AD916" s="109"/>
      <c r="AE916" s="109"/>
      <c r="AF916" s="109"/>
      <c r="AG916" s="109"/>
      <c r="AH916" s="109"/>
      <c r="AI916" s="109"/>
      <c r="AJ916" s="109"/>
      <c r="AK916" s="109"/>
      <c r="AL916" s="109"/>
      <c r="AM916" s="109"/>
      <c r="AN916" s="109"/>
      <c r="AO916" s="109"/>
      <c r="AP916" s="109"/>
      <c r="AQ916" s="109"/>
      <c r="AR916" s="109"/>
      <c r="AS916" s="109"/>
      <c r="AT916" s="109"/>
      <c r="AU916" s="109"/>
      <c r="AV916" s="109"/>
      <c r="AW916" s="109"/>
      <c r="AX916" s="109"/>
      <c r="AY916" s="109"/>
      <c r="AZ916" s="109"/>
    </row>
    <row r="917" spans="20:52" x14ac:dyDescent="0.45">
      <c r="T917" s="109"/>
      <c r="U917" s="109"/>
      <c r="V917" s="109"/>
      <c r="W917" s="109"/>
      <c r="X917" s="109"/>
      <c r="Y917" s="109"/>
      <c r="Z917" s="109"/>
      <c r="AA917" s="109"/>
      <c r="AB917" s="109"/>
      <c r="AC917" s="109"/>
      <c r="AD917" s="109"/>
      <c r="AE917" s="109"/>
      <c r="AF917" s="109"/>
      <c r="AG917" s="109"/>
      <c r="AH917" s="109"/>
      <c r="AI917" s="109"/>
      <c r="AJ917" s="109"/>
      <c r="AK917" s="109"/>
      <c r="AL917" s="109"/>
      <c r="AM917" s="109"/>
      <c r="AN917" s="109"/>
      <c r="AO917" s="109"/>
      <c r="AP917" s="109"/>
      <c r="AQ917" s="109"/>
      <c r="AR917" s="109"/>
      <c r="AS917" s="109"/>
      <c r="AT917" s="109"/>
      <c r="AU917" s="109"/>
      <c r="AV917" s="109"/>
      <c r="AW917" s="109"/>
      <c r="AX917" s="109"/>
      <c r="AY917" s="109"/>
      <c r="AZ917" s="109"/>
    </row>
    <row r="918" spans="20:52" x14ac:dyDescent="0.45">
      <c r="T918" s="109"/>
      <c r="U918" s="109"/>
      <c r="V918" s="109"/>
      <c r="W918" s="109"/>
      <c r="X918" s="109"/>
      <c r="Y918" s="109"/>
      <c r="Z918" s="109"/>
      <c r="AA918" s="109"/>
      <c r="AB918" s="109"/>
      <c r="AC918" s="109"/>
      <c r="AD918" s="109"/>
      <c r="AE918" s="109"/>
      <c r="AF918" s="109"/>
      <c r="AG918" s="109"/>
      <c r="AH918" s="109"/>
      <c r="AI918" s="109"/>
      <c r="AJ918" s="109"/>
      <c r="AK918" s="109"/>
      <c r="AL918" s="109"/>
      <c r="AM918" s="109"/>
      <c r="AN918" s="109"/>
      <c r="AO918" s="109"/>
      <c r="AP918" s="109"/>
      <c r="AQ918" s="109"/>
      <c r="AR918" s="109"/>
      <c r="AS918" s="109"/>
      <c r="AT918" s="109"/>
      <c r="AU918" s="109"/>
      <c r="AV918" s="109"/>
      <c r="AW918" s="109"/>
      <c r="AX918" s="109"/>
      <c r="AY918" s="109"/>
      <c r="AZ918" s="109"/>
    </row>
    <row r="919" spans="20:52" x14ac:dyDescent="0.45">
      <c r="T919" s="109"/>
      <c r="U919" s="109"/>
      <c r="V919" s="109"/>
      <c r="W919" s="109"/>
      <c r="X919" s="109"/>
      <c r="Y919" s="109"/>
      <c r="Z919" s="109"/>
      <c r="AA919" s="109"/>
      <c r="AB919" s="109"/>
      <c r="AC919" s="109"/>
      <c r="AD919" s="109"/>
      <c r="AE919" s="109"/>
      <c r="AF919" s="109"/>
      <c r="AG919" s="109"/>
      <c r="AH919" s="109"/>
      <c r="AI919" s="109"/>
      <c r="AJ919" s="109"/>
      <c r="AK919" s="109"/>
      <c r="AL919" s="109"/>
      <c r="AM919" s="109"/>
      <c r="AN919" s="109"/>
      <c r="AO919" s="109"/>
      <c r="AP919" s="109"/>
      <c r="AQ919" s="109"/>
      <c r="AR919" s="109"/>
      <c r="AS919" s="109"/>
      <c r="AT919" s="109"/>
      <c r="AU919" s="109"/>
      <c r="AV919" s="109"/>
      <c r="AW919" s="109"/>
      <c r="AX919" s="109"/>
      <c r="AY919" s="109"/>
      <c r="AZ919" s="109"/>
    </row>
    <row r="920" spans="20:52" x14ac:dyDescent="0.45">
      <c r="T920" s="109"/>
      <c r="U920" s="109"/>
      <c r="V920" s="109"/>
      <c r="W920" s="109"/>
      <c r="X920" s="109"/>
      <c r="Y920" s="109"/>
      <c r="Z920" s="109"/>
      <c r="AA920" s="109"/>
      <c r="AB920" s="109"/>
      <c r="AC920" s="109"/>
      <c r="AD920" s="109"/>
      <c r="AE920" s="109"/>
      <c r="AF920" s="109"/>
      <c r="AG920" s="109"/>
      <c r="AH920" s="109"/>
      <c r="AI920" s="109"/>
      <c r="AJ920" s="109"/>
      <c r="AK920" s="109"/>
      <c r="AL920" s="109"/>
      <c r="AM920" s="109"/>
      <c r="AN920" s="109"/>
      <c r="AO920" s="109"/>
      <c r="AP920" s="109"/>
      <c r="AQ920" s="109"/>
      <c r="AR920" s="109"/>
      <c r="AS920" s="109"/>
      <c r="AT920" s="109"/>
      <c r="AU920" s="109"/>
      <c r="AV920" s="109"/>
      <c r="AW920" s="109"/>
      <c r="AX920" s="109"/>
      <c r="AY920" s="109"/>
      <c r="AZ920" s="109"/>
    </row>
    <row r="921" spans="20:52" x14ac:dyDescent="0.45">
      <c r="T921" s="109"/>
      <c r="U921" s="109"/>
      <c r="V921" s="109"/>
      <c r="W921" s="109"/>
      <c r="X921" s="109"/>
      <c r="Y921" s="109"/>
      <c r="Z921" s="109"/>
      <c r="AA921" s="109"/>
      <c r="AB921" s="109"/>
      <c r="AC921" s="109"/>
      <c r="AD921" s="109"/>
      <c r="AE921" s="109"/>
      <c r="AF921" s="109"/>
      <c r="AG921" s="109"/>
      <c r="AH921" s="109"/>
      <c r="AI921" s="109"/>
      <c r="AJ921" s="109"/>
      <c r="AK921" s="109"/>
      <c r="AL921" s="109"/>
      <c r="AM921" s="109"/>
      <c r="AN921" s="109"/>
      <c r="AO921" s="109"/>
      <c r="AP921" s="109"/>
      <c r="AQ921" s="109"/>
      <c r="AR921" s="109"/>
      <c r="AS921" s="109"/>
      <c r="AT921" s="109"/>
      <c r="AU921" s="109"/>
      <c r="AV921" s="109"/>
      <c r="AW921" s="109"/>
      <c r="AX921" s="109"/>
      <c r="AY921" s="109"/>
      <c r="AZ921" s="109"/>
    </row>
    <row r="922" spans="20:52" x14ac:dyDescent="0.45">
      <c r="T922" s="109"/>
      <c r="U922" s="109"/>
      <c r="V922" s="109"/>
      <c r="W922" s="109"/>
      <c r="X922" s="109"/>
      <c r="Y922" s="109"/>
      <c r="Z922" s="109"/>
      <c r="AA922" s="109"/>
      <c r="AB922" s="109"/>
      <c r="AC922" s="109"/>
      <c r="AD922" s="109"/>
      <c r="AE922" s="109"/>
      <c r="AF922" s="109"/>
      <c r="AG922" s="109"/>
      <c r="AH922" s="109"/>
      <c r="AI922" s="109"/>
      <c r="AJ922" s="109"/>
      <c r="AK922" s="109"/>
      <c r="AL922" s="109"/>
      <c r="AM922" s="109"/>
      <c r="AN922" s="109"/>
      <c r="AO922" s="109"/>
      <c r="AP922" s="109"/>
      <c r="AQ922" s="109"/>
      <c r="AR922" s="109"/>
      <c r="AS922" s="109"/>
      <c r="AT922" s="109"/>
      <c r="AU922" s="109"/>
      <c r="AV922" s="109"/>
      <c r="AW922" s="109"/>
      <c r="AX922" s="109"/>
      <c r="AY922" s="109"/>
      <c r="AZ922" s="109"/>
    </row>
    <row r="923" spans="20:52" x14ac:dyDescent="0.45">
      <c r="T923" s="109"/>
      <c r="U923" s="109"/>
      <c r="V923" s="109"/>
      <c r="W923" s="109"/>
      <c r="X923" s="109"/>
      <c r="Y923" s="109"/>
      <c r="Z923" s="109"/>
      <c r="AA923" s="109"/>
      <c r="AB923" s="109"/>
      <c r="AC923" s="109"/>
      <c r="AD923" s="109"/>
      <c r="AE923" s="109"/>
      <c r="AF923" s="109"/>
      <c r="AG923" s="109"/>
      <c r="AH923" s="109"/>
      <c r="AI923" s="109"/>
      <c r="AJ923" s="109"/>
      <c r="AK923" s="109"/>
      <c r="AL923" s="109"/>
      <c r="AM923" s="109"/>
      <c r="AN923" s="109"/>
      <c r="AO923" s="109"/>
      <c r="AP923" s="109"/>
      <c r="AQ923" s="109"/>
      <c r="AR923" s="109"/>
      <c r="AS923" s="109"/>
      <c r="AT923" s="109"/>
      <c r="AU923" s="109"/>
      <c r="AV923" s="109"/>
      <c r="AW923" s="109"/>
      <c r="AX923" s="109"/>
      <c r="AY923" s="109"/>
      <c r="AZ923" s="109"/>
    </row>
    <row r="924" spans="20:52" x14ac:dyDescent="0.45">
      <c r="T924" s="109"/>
      <c r="U924" s="109"/>
      <c r="V924" s="109"/>
      <c r="W924" s="109"/>
      <c r="X924" s="109"/>
      <c r="Y924" s="109"/>
      <c r="Z924" s="109"/>
      <c r="AA924" s="109"/>
      <c r="AB924" s="109"/>
      <c r="AC924" s="109"/>
      <c r="AD924" s="109"/>
      <c r="AE924" s="109"/>
      <c r="AF924" s="109"/>
      <c r="AG924" s="109"/>
      <c r="AH924" s="109"/>
      <c r="AI924" s="109"/>
      <c r="AJ924" s="109"/>
      <c r="AK924" s="109"/>
      <c r="AL924" s="109"/>
      <c r="AM924" s="109"/>
      <c r="AN924" s="109"/>
      <c r="AO924" s="109"/>
      <c r="AP924" s="109"/>
      <c r="AQ924" s="109"/>
      <c r="AR924" s="109"/>
      <c r="AS924" s="109"/>
      <c r="AT924" s="109"/>
      <c r="AU924" s="109"/>
      <c r="AV924" s="109"/>
      <c r="AW924" s="109"/>
      <c r="AX924" s="109"/>
      <c r="AY924" s="109"/>
      <c r="AZ924" s="109"/>
    </row>
    <row r="925" spans="20:52" x14ac:dyDescent="0.45">
      <c r="T925" s="109"/>
      <c r="U925" s="109"/>
      <c r="V925" s="109"/>
      <c r="W925" s="109"/>
      <c r="X925" s="109"/>
      <c r="Y925" s="109"/>
      <c r="Z925" s="109"/>
      <c r="AA925" s="109"/>
      <c r="AB925" s="109"/>
      <c r="AC925" s="109"/>
      <c r="AD925" s="109"/>
      <c r="AE925" s="109"/>
      <c r="AF925" s="109"/>
      <c r="AG925" s="109"/>
      <c r="AH925" s="109"/>
      <c r="AI925" s="109"/>
      <c r="AJ925" s="109"/>
      <c r="AK925" s="109"/>
      <c r="AL925" s="109"/>
      <c r="AM925" s="109"/>
      <c r="AN925" s="109"/>
      <c r="AO925" s="109"/>
      <c r="AP925" s="109"/>
      <c r="AQ925" s="109"/>
      <c r="AR925" s="109"/>
      <c r="AS925" s="109"/>
      <c r="AT925" s="109"/>
      <c r="AU925" s="109"/>
      <c r="AV925" s="109"/>
      <c r="AW925" s="109"/>
      <c r="AX925" s="109"/>
      <c r="AY925" s="109"/>
      <c r="AZ925" s="109"/>
    </row>
    <row r="926" spans="20:52" x14ac:dyDescent="0.45">
      <c r="T926" s="109"/>
      <c r="U926" s="109"/>
      <c r="V926" s="109"/>
      <c r="W926" s="109"/>
      <c r="X926" s="109"/>
      <c r="Y926" s="109"/>
      <c r="Z926" s="109"/>
      <c r="AA926" s="109"/>
      <c r="AB926" s="109"/>
      <c r="AC926" s="109"/>
      <c r="AD926" s="109"/>
      <c r="AE926" s="109"/>
      <c r="AF926" s="109"/>
      <c r="AG926" s="109"/>
      <c r="AH926" s="109"/>
      <c r="AI926" s="109"/>
      <c r="AJ926" s="109"/>
      <c r="AK926" s="109"/>
      <c r="AL926" s="109"/>
      <c r="AM926" s="109"/>
      <c r="AN926" s="109"/>
      <c r="AO926" s="109"/>
      <c r="AP926" s="109"/>
      <c r="AQ926" s="109"/>
      <c r="AR926" s="109"/>
      <c r="AS926" s="109"/>
      <c r="AT926" s="109"/>
      <c r="AU926" s="109"/>
      <c r="AV926" s="109"/>
      <c r="AW926" s="109"/>
      <c r="AX926" s="109"/>
      <c r="AY926" s="109"/>
      <c r="AZ926" s="109"/>
    </row>
    <row r="927" spans="20:52" x14ac:dyDescent="0.45">
      <c r="T927" s="109"/>
      <c r="U927" s="109"/>
      <c r="V927" s="109"/>
      <c r="W927" s="109"/>
      <c r="X927" s="109"/>
      <c r="Y927" s="109"/>
      <c r="Z927" s="109"/>
      <c r="AA927" s="109"/>
      <c r="AB927" s="109"/>
      <c r="AC927" s="109"/>
      <c r="AD927" s="109"/>
      <c r="AE927" s="109"/>
      <c r="AF927" s="109"/>
      <c r="AG927" s="109"/>
      <c r="AH927" s="109"/>
      <c r="AI927" s="109"/>
      <c r="AJ927" s="109"/>
      <c r="AK927" s="109"/>
      <c r="AL927" s="109"/>
      <c r="AM927" s="109"/>
      <c r="AN927" s="109"/>
      <c r="AO927" s="109"/>
      <c r="AP927" s="109"/>
      <c r="AQ927" s="109"/>
      <c r="AR927" s="109"/>
      <c r="AS927" s="109"/>
      <c r="AT927" s="109"/>
      <c r="AU927" s="109"/>
      <c r="AV927" s="109"/>
      <c r="AW927" s="109"/>
      <c r="AX927" s="109"/>
      <c r="AY927" s="109"/>
      <c r="AZ927" s="109"/>
    </row>
    <row r="928" spans="20:52" x14ac:dyDescent="0.45">
      <c r="T928" s="109"/>
      <c r="U928" s="109"/>
      <c r="V928" s="109"/>
      <c r="W928" s="109"/>
      <c r="X928" s="109"/>
      <c r="Y928" s="109"/>
      <c r="Z928" s="109"/>
      <c r="AA928" s="109"/>
      <c r="AB928" s="109"/>
      <c r="AC928" s="109"/>
      <c r="AD928" s="109"/>
      <c r="AE928" s="109"/>
      <c r="AF928" s="109"/>
      <c r="AG928" s="109"/>
      <c r="AH928" s="109"/>
      <c r="AI928" s="109"/>
      <c r="AJ928" s="109"/>
      <c r="AK928" s="109"/>
      <c r="AL928" s="109"/>
      <c r="AM928" s="109"/>
      <c r="AN928" s="109"/>
      <c r="AO928" s="109"/>
      <c r="AP928" s="109"/>
      <c r="AQ928" s="109"/>
      <c r="AR928" s="109"/>
      <c r="AS928" s="109"/>
      <c r="AT928" s="109"/>
      <c r="AU928" s="109"/>
      <c r="AV928" s="109"/>
      <c r="AW928" s="109"/>
      <c r="AX928" s="109"/>
      <c r="AY928" s="109"/>
      <c r="AZ928" s="109"/>
    </row>
    <row r="929" spans="20:52" x14ac:dyDescent="0.45">
      <c r="T929" s="109"/>
      <c r="U929" s="109"/>
      <c r="V929" s="109"/>
      <c r="W929" s="109"/>
      <c r="X929" s="109"/>
      <c r="Y929" s="109"/>
      <c r="Z929" s="109"/>
      <c r="AA929" s="109"/>
      <c r="AB929" s="109"/>
      <c r="AC929" s="109"/>
      <c r="AD929" s="109"/>
      <c r="AE929" s="109"/>
      <c r="AF929" s="109"/>
      <c r="AG929" s="109"/>
      <c r="AH929" s="109"/>
      <c r="AI929" s="109"/>
      <c r="AJ929" s="109"/>
      <c r="AK929" s="109"/>
      <c r="AL929" s="109"/>
      <c r="AM929" s="109"/>
      <c r="AN929" s="109"/>
      <c r="AO929" s="109"/>
      <c r="AP929" s="109"/>
      <c r="AQ929" s="109"/>
      <c r="AR929" s="109"/>
      <c r="AS929" s="109"/>
      <c r="AT929" s="109"/>
      <c r="AU929" s="109"/>
      <c r="AV929" s="109"/>
      <c r="AW929" s="109"/>
      <c r="AX929" s="109"/>
      <c r="AY929" s="109"/>
      <c r="AZ929" s="109"/>
    </row>
    <row r="930" spans="20:52" x14ac:dyDescent="0.45">
      <c r="T930" s="109"/>
      <c r="U930" s="109"/>
      <c r="V930" s="109"/>
      <c r="W930" s="109"/>
      <c r="X930" s="109"/>
      <c r="Y930" s="109"/>
      <c r="Z930" s="109"/>
      <c r="AA930" s="109"/>
      <c r="AB930" s="109"/>
      <c r="AC930" s="109"/>
      <c r="AD930" s="109"/>
      <c r="AE930" s="109"/>
      <c r="AF930" s="109"/>
      <c r="AG930" s="109"/>
      <c r="AH930" s="109"/>
      <c r="AI930" s="109"/>
      <c r="AJ930" s="109"/>
      <c r="AK930" s="109"/>
      <c r="AL930" s="109"/>
      <c r="AM930" s="109"/>
      <c r="AN930" s="109"/>
      <c r="AO930" s="109"/>
      <c r="AP930" s="109"/>
      <c r="AQ930" s="109"/>
      <c r="AR930" s="109"/>
      <c r="AS930" s="109"/>
      <c r="AT930" s="109"/>
      <c r="AU930" s="109"/>
      <c r="AV930" s="109"/>
      <c r="AW930" s="109"/>
      <c r="AX930" s="109"/>
      <c r="AY930" s="109"/>
      <c r="AZ930" s="109"/>
    </row>
    <row r="931" spans="20:52" x14ac:dyDescent="0.45">
      <c r="T931" s="109"/>
      <c r="U931" s="109"/>
      <c r="V931" s="109"/>
      <c r="W931" s="109"/>
      <c r="X931" s="109"/>
      <c r="Y931" s="109"/>
      <c r="Z931" s="109"/>
      <c r="AA931" s="109"/>
      <c r="AB931" s="109"/>
      <c r="AC931" s="109"/>
      <c r="AD931" s="109"/>
      <c r="AE931" s="109"/>
      <c r="AF931" s="109"/>
      <c r="AG931" s="109"/>
      <c r="AH931" s="109"/>
      <c r="AI931" s="109"/>
      <c r="AJ931" s="109"/>
      <c r="AK931" s="109"/>
      <c r="AL931" s="109"/>
      <c r="AM931" s="109"/>
      <c r="AN931" s="109"/>
      <c r="AO931" s="109"/>
      <c r="AP931" s="109"/>
      <c r="AQ931" s="109"/>
      <c r="AR931" s="109"/>
      <c r="AS931" s="109"/>
      <c r="AT931" s="109"/>
      <c r="AU931" s="109"/>
      <c r="AV931" s="109"/>
      <c r="AW931" s="109"/>
      <c r="AX931" s="109"/>
      <c r="AY931" s="109"/>
      <c r="AZ931" s="109"/>
    </row>
    <row r="932" spans="20:52" x14ac:dyDescent="0.45">
      <c r="T932" s="109"/>
      <c r="U932" s="109"/>
      <c r="V932" s="109"/>
      <c r="W932" s="109"/>
      <c r="X932" s="109"/>
      <c r="Y932" s="109"/>
      <c r="Z932" s="109"/>
      <c r="AA932" s="109"/>
      <c r="AB932" s="109"/>
      <c r="AC932" s="109"/>
      <c r="AD932" s="109"/>
      <c r="AE932" s="109"/>
      <c r="AF932" s="109"/>
      <c r="AG932" s="109"/>
      <c r="AH932" s="109"/>
      <c r="AI932" s="109"/>
      <c r="AJ932" s="109"/>
      <c r="AK932" s="109"/>
      <c r="AL932" s="109"/>
      <c r="AM932" s="109"/>
      <c r="AN932" s="109"/>
      <c r="AO932" s="109"/>
      <c r="AP932" s="109"/>
      <c r="AQ932" s="109"/>
      <c r="AR932" s="109"/>
      <c r="AS932" s="109"/>
      <c r="AT932" s="109"/>
      <c r="AU932" s="109"/>
      <c r="AV932" s="109"/>
      <c r="AW932" s="109"/>
      <c r="AX932" s="109"/>
      <c r="AY932" s="109"/>
      <c r="AZ932" s="109"/>
    </row>
    <row r="933" spans="20:52" x14ac:dyDescent="0.45">
      <c r="T933" s="109"/>
      <c r="U933" s="109"/>
      <c r="V933" s="109"/>
      <c r="W933" s="109"/>
      <c r="X933" s="109"/>
      <c r="Y933" s="109"/>
      <c r="Z933" s="109"/>
      <c r="AA933" s="109"/>
      <c r="AB933" s="109"/>
      <c r="AC933" s="109"/>
      <c r="AD933" s="109"/>
      <c r="AE933" s="109"/>
      <c r="AF933" s="109"/>
      <c r="AG933" s="109"/>
      <c r="AH933" s="109"/>
      <c r="AI933" s="109"/>
      <c r="AJ933" s="109"/>
      <c r="AK933" s="109"/>
      <c r="AL933" s="109"/>
      <c r="AM933" s="109"/>
      <c r="AN933" s="109"/>
      <c r="AO933" s="109"/>
      <c r="AP933" s="109"/>
      <c r="AQ933" s="109"/>
      <c r="AR933" s="109"/>
      <c r="AS933" s="109"/>
      <c r="AT933" s="109"/>
      <c r="AU933" s="109"/>
      <c r="AV933" s="109"/>
      <c r="AW933" s="109"/>
      <c r="AX933" s="109"/>
      <c r="AY933" s="109"/>
      <c r="AZ933" s="109"/>
    </row>
    <row r="934" spans="20:52" x14ac:dyDescent="0.45">
      <c r="T934" s="109"/>
      <c r="U934" s="109"/>
      <c r="V934" s="109"/>
      <c r="W934" s="109"/>
      <c r="X934" s="109"/>
      <c r="Y934" s="109"/>
      <c r="Z934" s="109"/>
      <c r="AA934" s="109"/>
      <c r="AB934" s="109"/>
      <c r="AC934" s="109"/>
      <c r="AD934" s="109"/>
      <c r="AE934" s="109"/>
      <c r="AF934" s="109"/>
      <c r="AG934" s="109"/>
      <c r="AH934" s="109"/>
      <c r="AI934" s="109"/>
      <c r="AJ934" s="109"/>
      <c r="AK934" s="109"/>
      <c r="AL934" s="109"/>
      <c r="AM934" s="109"/>
      <c r="AN934" s="109"/>
      <c r="AO934" s="109"/>
      <c r="AP934" s="109"/>
      <c r="AQ934" s="109"/>
      <c r="AR934" s="109"/>
      <c r="AS934" s="109"/>
      <c r="AT934" s="109"/>
      <c r="AU934" s="109"/>
      <c r="AV934" s="109"/>
      <c r="AW934" s="109"/>
      <c r="AX934" s="109"/>
      <c r="AY934" s="109"/>
      <c r="AZ934" s="109"/>
    </row>
    <row r="935" spans="20:52" x14ac:dyDescent="0.45">
      <c r="T935" s="109"/>
      <c r="U935" s="109"/>
      <c r="V935" s="109"/>
      <c r="W935" s="109"/>
      <c r="X935" s="109"/>
      <c r="Y935" s="109"/>
      <c r="Z935" s="109"/>
      <c r="AA935" s="109"/>
      <c r="AB935" s="109"/>
      <c r="AC935" s="109"/>
      <c r="AD935" s="109"/>
      <c r="AE935" s="109"/>
      <c r="AF935" s="109"/>
      <c r="AG935" s="109"/>
      <c r="AH935" s="109"/>
      <c r="AI935" s="109"/>
      <c r="AJ935" s="109"/>
      <c r="AK935" s="109"/>
      <c r="AL935" s="109"/>
      <c r="AM935" s="109"/>
      <c r="AN935" s="109"/>
      <c r="AO935" s="109"/>
      <c r="AP935" s="109"/>
      <c r="AQ935" s="109"/>
      <c r="AR935" s="109"/>
      <c r="AS935" s="109"/>
      <c r="AT935" s="109"/>
      <c r="AU935" s="109"/>
      <c r="AV935" s="109"/>
      <c r="AW935" s="109"/>
      <c r="AX935" s="109"/>
      <c r="AY935" s="109"/>
      <c r="AZ935" s="109"/>
    </row>
    <row r="936" spans="20:52" x14ac:dyDescent="0.45">
      <c r="T936" s="109"/>
      <c r="U936" s="109"/>
      <c r="V936" s="109"/>
      <c r="W936" s="109"/>
      <c r="X936" s="109"/>
      <c r="Y936" s="109"/>
      <c r="Z936" s="109"/>
      <c r="AA936" s="109"/>
      <c r="AB936" s="109"/>
      <c r="AC936" s="109"/>
      <c r="AD936" s="109"/>
      <c r="AE936" s="109"/>
      <c r="AF936" s="109"/>
      <c r="AG936" s="109"/>
      <c r="AH936" s="109"/>
      <c r="AI936" s="109"/>
      <c r="AJ936" s="109"/>
      <c r="AK936" s="109"/>
      <c r="AL936" s="109"/>
      <c r="AM936" s="109"/>
      <c r="AN936" s="109"/>
      <c r="AO936" s="109"/>
      <c r="AP936" s="109"/>
      <c r="AQ936" s="109"/>
      <c r="AR936" s="109"/>
      <c r="AS936" s="109"/>
      <c r="AT936" s="109"/>
      <c r="AU936" s="109"/>
      <c r="AV936" s="109"/>
      <c r="AW936" s="109"/>
      <c r="AX936" s="109"/>
      <c r="AY936" s="109"/>
      <c r="AZ936" s="109"/>
    </row>
    <row r="937" spans="20:52" x14ac:dyDescent="0.45">
      <c r="T937" s="109"/>
      <c r="U937" s="109"/>
      <c r="V937" s="109"/>
      <c r="W937" s="109"/>
      <c r="X937" s="109"/>
      <c r="Y937" s="109"/>
      <c r="Z937" s="109"/>
      <c r="AA937" s="109"/>
      <c r="AB937" s="109"/>
      <c r="AC937" s="109"/>
      <c r="AD937" s="109"/>
      <c r="AE937" s="109"/>
      <c r="AF937" s="109"/>
      <c r="AG937" s="109"/>
      <c r="AH937" s="109"/>
      <c r="AI937" s="109"/>
      <c r="AJ937" s="109"/>
      <c r="AK937" s="109"/>
      <c r="AL937" s="109"/>
      <c r="AM937" s="109"/>
      <c r="AN937" s="109"/>
      <c r="AO937" s="109"/>
      <c r="AP937" s="109"/>
      <c r="AQ937" s="109"/>
      <c r="AR937" s="109"/>
      <c r="AS937" s="109"/>
      <c r="AT937" s="109"/>
      <c r="AU937" s="109"/>
      <c r="AV937" s="109"/>
      <c r="AW937" s="109"/>
      <c r="AX937" s="109"/>
      <c r="AY937" s="109"/>
      <c r="AZ937" s="109"/>
    </row>
    <row r="938" spans="20:52" x14ac:dyDescent="0.45">
      <c r="T938" s="109"/>
      <c r="U938" s="109"/>
      <c r="V938" s="109"/>
      <c r="W938" s="109"/>
      <c r="X938" s="109"/>
      <c r="Y938" s="109"/>
      <c r="Z938" s="109"/>
      <c r="AA938" s="109"/>
      <c r="AB938" s="109"/>
      <c r="AC938" s="109"/>
      <c r="AD938" s="109"/>
      <c r="AE938" s="109"/>
      <c r="AF938" s="109"/>
      <c r="AG938" s="109"/>
      <c r="AH938" s="109"/>
      <c r="AI938" s="109"/>
      <c r="AJ938" s="109"/>
      <c r="AK938" s="109"/>
      <c r="AL938" s="109"/>
      <c r="AM938" s="109"/>
      <c r="AN938" s="109"/>
      <c r="AO938" s="109"/>
      <c r="AP938" s="109"/>
      <c r="AQ938" s="109"/>
      <c r="AR938" s="109"/>
      <c r="AS938" s="109"/>
      <c r="AT938" s="109"/>
      <c r="AU938" s="109"/>
      <c r="AV938" s="109"/>
      <c r="AW938" s="109"/>
      <c r="AX938" s="109"/>
      <c r="AY938" s="109"/>
      <c r="AZ938" s="109"/>
    </row>
    <row r="939" spans="20:52" x14ac:dyDescent="0.45">
      <c r="T939" s="109"/>
      <c r="U939" s="109"/>
      <c r="V939" s="109"/>
      <c r="W939" s="109"/>
      <c r="X939" s="109"/>
      <c r="Y939" s="109"/>
      <c r="Z939" s="109"/>
      <c r="AA939" s="109"/>
      <c r="AB939" s="109"/>
      <c r="AC939" s="109"/>
      <c r="AD939" s="109"/>
      <c r="AE939" s="109"/>
      <c r="AF939" s="109"/>
      <c r="AG939" s="109"/>
      <c r="AH939" s="109"/>
      <c r="AI939" s="109"/>
      <c r="AJ939" s="109"/>
      <c r="AK939" s="109"/>
      <c r="AL939" s="109"/>
      <c r="AM939" s="109"/>
      <c r="AN939" s="109"/>
      <c r="AO939" s="109"/>
      <c r="AP939" s="109"/>
      <c r="AQ939" s="109"/>
      <c r="AR939" s="109"/>
      <c r="AS939" s="109"/>
      <c r="AT939" s="109"/>
      <c r="AU939" s="109"/>
      <c r="AV939" s="109"/>
      <c r="AW939" s="109"/>
      <c r="AX939" s="109"/>
      <c r="AY939" s="109"/>
      <c r="AZ939" s="109"/>
    </row>
    <row r="940" spans="20:52" x14ac:dyDescent="0.45">
      <c r="T940" s="109"/>
      <c r="U940" s="109"/>
      <c r="V940" s="109"/>
      <c r="W940" s="109"/>
      <c r="X940" s="109"/>
      <c r="Y940" s="109"/>
      <c r="Z940" s="109"/>
      <c r="AA940" s="109"/>
      <c r="AB940" s="109"/>
      <c r="AC940" s="109"/>
      <c r="AD940" s="109"/>
      <c r="AE940" s="109"/>
      <c r="AF940" s="109"/>
      <c r="AG940" s="109"/>
      <c r="AH940" s="109"/>
      <c r="AI940" s="109"/>
      <c r="AJ940" s="109"/>
      <c r="AK940" s="109"/>
      <c r="AL940" s="109"/>
      <c r="AM940" s="109"/>
      <c r="AN940" s="109"/>
      <c r="AO940" s="109"/>
      <c r="AP940" s="109"/>
      <c r="AQ940" s="109"/>
      <c r="AR940" s="109"/>
      <c r="AS940" s="109"/>
      <c r="AT940" s="109"/>
      <c r="AU940" s="109"/>
      <c r="AV940" s="109"/>
      <c r="AW940" s="109"/>
      <c r="AX940" s="109"/>
      <c r="AY940" s="109"/>
      <c r="AZ940" s="109"/>
    </row>
    <row r="941" spans="20:52" x14ac:dyDescent="0.45">
      <c r="T941" s="109"/>
      <c r="U941" s="109"/>
      <c r="V941" s="109"/>
      <c r="W941" s="109"/>
      <c r="X941" s="109"/>
      <c r="Y941" s="109"/>
      <c r="Z941" s="109"/>
      <c r="AA941" s="109"/>
      <c r="AB941" s="109"/>
      <c r="AC941" s="109"/>
      <c r="AD941" s="109"/>
      <c r="AE941" s="109"/>
      <c r="AF941" s="109"/>
      <c r="AG941" s="109"/>
      <c r="AH941" s="109"/>
      <c r="AI941" s="109"/>
      <c r="AJ941" s="109"/>
      <c r="AK941" s="109"/>
      <c r="AL941" s="109"/>
      <c r="AM941" s="109"/>
      <c r="AN941" s="109"/>
      <c r="AO941" s="109"/>
      <c r="AP941" s="109"/>
      <c r="AQ941" s="109"/>
      <c r="AR941" s="109"/>
      <c r="AS941" s="109"/>
      <c r="AT941" s="109"/>
      <c r="AU941" s="109"/>
      <c r="AV941" s="109"/>
      <c r="AW941" s="109"/>
      <c r="AX941" s="109"/>
      <c r="AY941" s="109"/>
      <c r="AZ941" s="109"/>
    </row>
    <row r="942" spans="20:52" x14ac:dyDescent="0.45">
      <c r="T942" s="109"/>
      <c r="U942" s="109"/>
      <c r="V942" s="109"/>
      <c r="W942" s="109"/>
      <c r="X942" s="109"/>
      <c r="Y942" s="109"/>
      <c r="Z942" s="109"/>
      <c r="AA942" s="109"/>
      <c r="AB942" s="109"/>
      <c r="AC942" s="109"/>
      <c r="AD942" s="109"/>
      <c r="AE942" s="109"/>
      <c r="AF942" s="109"/>
      <c r="AG942" s="109"/>
      <c r="AH942" s="109"/>
      <c r="AI942" s="109"/>
      <c r="AJ942" s="109"/>
      <c r="AK942" s="109"/>
      <c r="AL942" s="109"/>
      <c r="AM942" s="109"/>
      <c r="AN942" s="109"/>
      <c r="AO942" s="109"/>
      <c r="AP942" s="109"/>
      <c r="AQ942" s="109"/>
      <c r="AR942" s="109"/>
      <c r="AS942" s="109"/>
      <c r="AT942" s="109"/>
      <c r="AU942" s="109"/>
      <c r="AV942" s="109"/>
      <c r="AW942" s="109"/>
      <c r="AX942" s="109"/>
      <c r="AY942" s="109"/>
      <c r="AZ942" s="109"/>
    </row>
    <row r="943" spans="20:52" x14ac:dyDescent="0.45">
      <c r="T943" s="109"/>
      <c r="U943" s="109"/>
      <c r="V943" s="109"/>
      <c r="W943" s="109"/>
      <c r="X943" s="109"/>
      <c r="Y943" s="109"/>
      <c r="Z943" s="109"/>
      <c r="AA943" s="109"/>
      <c r="AB943" s="109"/>
      <c r="AC943" s="109"/>
      <c r="AD943" s="109"/>
      <c r="AE943" s="109"/>
      <c r="AF943" s="109"/>
      <c r="AG943" s="109"/>
      <c r="AH943" s="109"/>
      <c r="AI943" s="109"/>
      <c r="AJ943" s="109"/>
      <c r="AK943" s="109"/>
      <c r="AL943" s="109"/>
      <c r="AM943" s="109"/>
      <c r="AN943" s="109"/>
      <c r="AO943" s="109"/>
      <c r="AP943" s="109"/>
      <c r="AQ943" s="109"/>
      <c r="AR943" s="109"/>
      <c r="AS943" s="109"/>
      <c r="AT943" s="109"/>
      <c r="AU943" s="109"/>
      <c r="AV943" s="109"/>
      <c r="AW943" s="109"/>
      <c r="AX943" s="109"/>
      <c r="AY943" s="109"/>
      <c r="AZ943" s="109"/>
    </row>
    <row r="944" spans="20:52" x14ac:dyDescent="0.45">
      <c r="T944" s="109"/>
      <c r="U944" s="109"/>
      <c r="V944" s="109"/>
      <c r="W944" s="109"/>
      <c r="X944" s="109"/>
      <c r="Y944" s="109"/>
      <c r="Z944" s="109"/>
      <c r="AA944" s="109"/>
      <c r="AB944" s="109"/>
      <c r="AC944" s="109"/>
      <c r="AD944" s="109"/>
      <c r="AE944" s="109"/>
      <c r="AF944" s="109"/>
      <c r="AG944" s="109"/>
      <c r="AH944" s="109"/>
      <c r="AI944" s="109"/>
      <c r="AJ944" s="109"/>
      <c r="AK944" s="109"/>
      <c r="AL944" s="109"/>
      <c r="AM944" s="109"/>
      <c r="AN944" s="109"/>
      <c r="AO944" s="109"/>
      <c r="AP944" s="109"/>
      <c r="AQ944" s="109"/>
      <c r="AR944" s="109"/>
      <c r="AS944" s="109"/>
      <c r="AT944" s="109"/>
      <c r="AU944" s="109"/>
      <c r="AV944" s="109"/>
      <c r="AW944" s="109"/>
      <c r="AX944" s="109"/>
      <c r="AY944" s="109"/>
      <c r="AZ944" s="109"/>
    </row>
    <row r="945" spans="20:52" x14ac:dyDescent="0.45">
      <c r="T945" s="109"/>
      <c r="U945" s="109"/>
      <c r="V945" s="109"/>
      <c r="W945" s="109"/>
      <c r="X945" s="109"/>
      <c r="Y945" s="109"/>
      <c r="Z945" s="109"/>
      <c r="AA945" s="109"/>
      <c r="AB945" s="109"/>
      <c r="AC945" s="109"/>
      <c r="AD945" s="109"/>
      <c r="AE945" s="109"/>
      <c r="AF945" s="109"/>
      <c r="AG945" s="109"/>
      <c r="AH945" s="109"/>
      <c r="AI945" s="109"/>
      <c r="AJ945" s="109"/>
      <c r="AK945" s="109"/>
      <c r="AL945" s="109"/>
      <c r="AM945" s="109"/>
      <c r="AN945" s="109"/>
      <c r="AO945" s="109"/>
      <c r="AP945" s="109"/>
      <c r="AQ945" s="109"/>
      <c r="AR945" s="109"/>
      <c r="AS945" s="109"/>
      <c r="AT945" s="109"/>
      <c r="AU945" s="109"/>
      <c r="AV945" s="109"/>
      <c r="AW945" s="109"/>
      <c r="AX945" s="109"/>
      <c r="AY945" s="109"/>
      <c r="AZ945" s="109"/>
    </row>
    <row r="946" spans="20:52" x14ac:dyDescent="0.45">
      <c r="T946" s="109"/>
      <c r="U946" s="109"/>
      <c r="V946" s="109"/>
      <c r="W946" s="109"/>
      <c r="X946" s="109"/>
      <c r="Y946" s="109"/>
      <c r="Z946" s="109"/>
      <c r="AA946" s="109"/>
      <c r="AB946" s="109"/>
      <c r="AC946" s="109"/>
      <c r="AD946" s="109"/>
      <c r="AE946" s="109"/>
      <c r="AF946" s="109"/>
      <c r="AG946" s="109"/>
      <c r="AH946" s="109"/>
      <c r="AI946" s="109"/>
      <c r="AJ946" s="109"/>
      <c r="AK946" s="109"/>
      <c r="AL946" s="109"/>
      <c r="AM946" s="109"/>
      <c r="AN946" s="109"/>
      <c r="AO946" s="109"/>
      <c r="AP946" s="109"/>
      <c r="AQ946" s="109"/>
      <c r="AR946" s="109"/>
      <c r="AS946" s="109"/>
      <c r="AT946" s="109"/>
      <c r="AU946" s="109"/>
      <c r="AV946" s="109"/>
      <c r="AW946" s="109"/>
      <c r="AX946" s="109"/>
      <c r="AY946" s="109"/>
      <c r="AZ946" s="109"/>
    </row>
    <row r="947" spans="20:52" x14ac:dyDescent="0.45">
      <c r="T947" s="109"/>
      <c r="U947" s="109"/>
      <c r="V947" s="109"/>
      <c r="W947" s="109"/>
      <c r="X947" s="109"/>
      <c r="Y947" s="109"/>
      <c r="Z947" s="109"/>
      <c r="AA947" s="109"/>
      <c r="AB947" s="109"/>
      <c r="AC947" s="109"/>
      <c r="AD947" s="109"/>
      <c r="AE947" s="109"/>
      <c r="AF947" s="109"/>
      <c r="AG947" s="109"/>
      <c r="AH947" s="109"/>
      <c r="AI947" s="109"/>
      <c r="AJ947" s="109"/>
      <c r="AK947" s="109"/>
      <c r="AL947" s="109"/>
      <c r="AM947" s="109"/>
      <c r="AN947" s="109"/>
      <c r="AO947" s="109"/>
      <c r="AP947" s="109"/>
      <c r="AQ947" s="109"/>
      <c r="AR947" s="109"/>
      <c r="AS947" s="109"/>
      <c r="AT947" s="109"/>
      <c r="AU947" s="109"/>
      <c r="AV947" s="109"/>
      <c r="AW947" s="109"/>
      <c r="AX947" s="109"/>
      <c r="AY947" s="109"/>
      <c r="AZ947" s="109"/>
    </row>
    <row r="948" spans="20:52" x14ac:dyDescent="0.45">
      <c r="T948" s="109"/>
      <c r="U948" s="109"/>
      <c r="V948" s="109"/>
      <c r="W948" s="109"/>
      <c r="X948" s="109"/>
      <c r="Y948" s="109"/>
      <c r="Z948" s="109"/>
      <c r="AA948" s="109"/>
      <c r="AB948" s="109"/>
      <c r="AC948" s="109"/>
      <c r="AD948" s="109"/>
      <c r="AE948" s="109"/>
      <c r="AF948" s="109"/>
      <c r="AG948" s="109"/>
      <c r="AH948" s="109"/>
      <c r="AI948" s="109"/>
      <c r="AJ948" s="109"/>
      <c r="AK948" s="109"/>
      <c r="AL948" s="109"/>
      <c r="AM948" s="109"/>
      <c r="AN948" s="109"/>
      <c r="AO948" s="109"/>
      <c r="AP948" s="109"/>
      <c r="AQ948" s="109"/>
      <c r="AR948" s="109"/>
      <c r="AS948" s="109"/>
      <c r="AT948" s="109"/>
      <c r="AU948" s="109"/>
      <c r="AV948" s="109"/>
      <c r="AW948" s="109"/>
      <c r="AX948" s="109"/>
      <c r="AY948" s="109"/>
      <c r="AZ948" s="109"/>
    </row>
    <row r="949" spans="20:52" x14ac:dyDescent="0.45">
      <c r="T949" s="109"/>
      <c r="U949" s="109"/>
      <c r="V949" s="109"/>
      <c r="W949" s="109"/>
      <c r="X949" s="109"/>
      <c r="Y949" s="109"/>
      <c r="Z949" s="109"/>
      <c r="AA949" s="109"/>
      <c r="AB949" s="109"/>
      <c r="AC949" s="109"/>
      <c r="AD949" s="109"/>
      <c r="AE949" s="109"/>
      <c r="AF949" s="109"/>
      <c r="AG949" s="109"/>
      <c r="AH949" s="109"/>
      <c r="AI949" s="109"/>
      <c r="AJ949" s="109"/>
      <c r="AK949" s="109"/>
      <c r="AL949" s="109"/>
      <c r="AM949" s="109"/>
      <c r="AN949" s="109"/>
      <c r="AO949" s="109"/>
      <c r="AP949" s="109"/>
      <c r="AQ949" s="109"/>
      <c r="AR949" s="109"/>
      <c r="AS949" s="109"/>
      <c r="AT949" s="109"/>
      <c r="AU949" s="109"/>
      <c r="AV949" s="109"/>
      <c r="AW949" s="109"/>
      <c r="AX949" s="109"/>
      <c r="AY949" s="109"/>
      <c r="AZ949" s="109"/>
    </row>
    <row r="950" spans="20:52" x14ac:dyDescent="0.45">
      <c r="T950" s="109"/>
      <c r="U950" s="109"/>
      <c r="V950" s="109"/>
      <c r="W950" s="109"/>
      <c r="X950" s="109"/>
      <c r="Y950" s="109"/>
      <c r="Z950" s="109"/>
      <c r="AA950" s="109"/>
      <c r="AB950" s="109"/>
      <c r="AC950" s="109"/>
      <c r="AD950" s="109"/>
      <c r="AE950" s="109"/>
      <c r="AF950" s="109"/>
      <c r="AG950" s="109"/>
      <c r="AH950" s="109"/>
      <c r="AI950" s="109"/>
      <c r="AJ950" s="109"/>
      <c r="AK950" s="109"/>
      <c r="AL950" s="109"/>
      <c r="AM950" s="109"/>
      <c r="AN950" s="109"/>
      <c r="AO950" s="109"/>
      <c r="AP950" s="109"/>
      <c r="AQ950" s="109"/>
      <c r="AR950" s="109"/>
      <c r="AS950" s="109"/>
      <c r="AT950" s="109"/>
      <c r="AU950" s="109"/>
      <c r="AV950" s="109"/>
      <c r="AW950" s="109"/>
      <c r="AX950" s="109"/>
      <c r="AY950" s="109"/>
      <c r="AZ950" s="109"/>
    </row>
    <row r="951" spans="20:52" x14ac:dyDescent="0.45">
      <c r="T951" s="109"/>
      <c r="U951" s="109"/>
      <c r="V951" s="109"/>
      <c r="W951" s="109"/>
      <c r="X951" s="109"/>
      <c r="Y951" s="109"/>
      <c r="Z951" s="109"/>
      <c r="AA951" s="109"/>
      <c r="AB951" s="109"/>
      <c r="AC951" s="109"/>
      <c r="AD951" s="109"/>
      <c r="AE951" s="109"/>
      <c r="AF951" s="109"/>
      <c r="AG951" s="109"/>
      <c r="AH951" s="109"/>
      <c r="AI951" s="109"/>
      <c r="AJ951" s="109"/>
      <c r="AK951" s="109"/>
      <c r="AL951" s="109"/>
      <c r="AM951" s="109"/>
      <c r="AN951" s="109"/>
      <c r="AO951" s="109"/>
      <c r="AP951" s="109"/>
      <c r="AQ951" s="109"/>
      <c r="AR951" s="109"/>
      <c r="AS951" s="109"/>
      <c r="AT951" s="109"/>
      <c r="AU951" s="109"/>
      <c r="AV951" s="109"/>
      <c r="AW951" s="109"/>
      <c r="AX951" s="109"/>
      <c r="AY951" s="109"/>
      <c r="AZ951" s="109"/>
    </row>
    <row r="952" spans="20:52" x14ac:dyDescent="0.45">
      <c r="T952" s="109"/>
      <c r="U952" s="109"/>
      <c r="V952" s="109"/>
      <c r="W952" s="109"/>
      <c r="X952" s="109"/>
      <c r="Y952" s="109"/>
      <c r="Z952" s="109"/>
      <c r="AA952" s="109"/>
      <c r="AB952" s="109"/>
      <c r="AC952" s="109"/>
      <c r="AD952" s="109"/>
      <c r="AE952" s="109"/>
      <c r="AF952" s="109"/>
      <c r="AG952" s="109"/>
      <c r="AH952" s="109"/>
      <c r="AI952" s="109"/>
      <c r="AJ952" s="109"/>
      <c r="AK952" s="109"/>
      <c r="AL952" s="109"/>
      <c r="AM952" s="109"/>
      <c r="AN952" s="109"/>
      <c r="AO952" s="109"/>
      <c r="AP952" s="109"/>
      <c r="AQ952" s="109"/>
      <c r="AR952" s="109"/>
      <c r="AS952" s="109"/>
      <c r="AT952" s="109"/>
      <c r="AU952" s="109"/>
      <c r="AV952" s="109"/>
      <c r="AW952" s="109"/>
      <c r="AX952" s="109"/>
      <c r="AY952" s="109"/>
      <c r="AZ952" s="109"/>
    </row>
    <row r="953" spans="20:52" x14ac:dyDescent="0.45">
      <c r="T953" s="109"/>
      <c r="U953" s="109"/>
      <c r="V953" s="109"/>
      <c r="W953" s="109"/>
      <c r="X953" s="109"/>
      <c r="Y953" s="109"/>
      <c r="Z953" s="109"/>
      <c r="AA953" s="109"/>
      <c r="AB953" s="109"/>
      <c r="AC953" s="109"/>
      <c r="AD953" s="109"/>
      <c r="AE953" s="109"/>
      <c r="AF953" s="109"/>
      <c r="AG953" s="109"/>
      <c r="AH953" s="109"/>
      <c r="AI953" s="109"/>
      <c r="AJ953" s="109"/>
      <c r="AK953" s="109"/>
      <c r="AL953" s="109"/>
      <c r="AM953" s="109"/>
      <c r="AN953" s="109"/>
      <c r="AO953" s="109"/>
      <c r="AP953" s="109"/>
      <c r="AQ953" s="109"/>
      <c r="AR953" s="109"/>
      <c r="AS953" s="109"/>
      <c r="AT953" s="109"/>
      <c r="AU953" s="109"/>
      <c r="AV953" s="109"/>
      <c r="AW953" s="109"/>
      <c r="AX953" s="109"/>
      <c r="AY953" s="109"/>
      <c r="AZ953" s="109"/>
    </row>
    <row r="954" spans="20:52" x14ac:dyDescent="0.45">
      <c r="T954" s="109"/>
      <c r="U954" s="109"/>
      <c r="V954" s="109"/>
      <c r="W954" s="109"/>
      <c r="X954" s="109"/>
      <c r="Y954" s="109"/>
      <c r="Z954" s="109"/>
      <c r="AA954" s="109"/>
      <c r="AB954" s="109"/>
      <c r="AC954" s="109"/>
      <c r="AD954" s="109"/>
      <c r="AE954" s="109"/>
      <c r="AF954" s="109"/>
      <c r="AG954" s="109"/>
      <c r="AH954" s="109"/>
      <c r="AI954" s="109"/>
      <c r="AJ954" s="109"/>
      <c r="AK954" s="109"/>
      <c r="AL954" s="109"/>
      <c r="AM954" s="109"/>
      <c r="AN954" s="109"/>
      <c r="AO954" s="109"/>
      <c r="AP954" s="109"/>
      <c r="AQ954" s="109"/>
      <c r="AR954" s="109"/>
      <c r="AS954" s="109"/>
      <c r="AT954" s="109"/>
      <c r="AU954" s="109"/>
      <c r="AV954" s="109"/>
      <c r="AW954" s="109"/>
      <c r="AX954" s="109"/>
      <c r="AY954" s="109"/>
      <c r="AZ954" s="109"/>
    </row>
    <row r="955" spans="20:52" x14ac:dyDescent="0.45">
      <c r="T955" s="109"/>
      <c r="U955" s="109"/>
      <c r="V955" s="109"/>
      <c r="W955" s="109"/>
      <c r="X955" s="109"/>
      <c r="Y955" s="109"/>
      <c r="Z955" s="109"/>
      <c r="AA955" s="109"/>
      <c r="AB955" s="109"/>
      <c r="AC955" s="109"/>
      <c r="AD955" s="109"/>
      <c r="AE955" s="109"/>
      <c r="AF955" s="109"/>
      <c r="AG955" s="109"/>
      <c r="AH955" s="109"/>
      <c r="AI955" s="109"/>
      <c r="AJ955" s="109"/>
      <c r="AK955" s="109"/>
      <c r="AL955" s="109"/>
      <c r="AM955" s="109"/>
      <c r="AN955" s="109"/>
      <c r="AO955" s="109"/>
      <c r="AP955" s="109"/>
      <c r="AQ955" s="109"/>
      <c r="AR955" s="109"/>
      <c r="AS955" s="109"/>
      <c r="AT955" s="109"/>
      <c r="AU955" s="109"/>
      <c r="AV955" s="109"/>
      <c r="AW955" s="109"/>
      <c r="AX955" s="109"/>
      <c r="AY955" s="109"/>
      <c r="AZ955" s="109"/>
    </row>
    <row r="956" spans="20:52" x14ac:dyDescent="0.45">
      <c r="T956" s="109"/>
      <c r="U956" s="109"/>
      <c r="V956" s="109"/>
      <c r="W956" s="109"/>
      <c r="X956" s="109"/>
      <c r="Y956" s="109"/>
      <c r="Z956" s="109"/>
      <c r="AA956" s="109"/>
      <c r="AB956" s="109"/>
      <c r="AC956" s="109"/>
      <c r="AD956" s="109"/>
      <c r="AE956" s="109"/>
      <c r="AF956" s="109"/>
      <c r="AG956" s="109"/>
      <c r="AH956" s="109"/>
      <c r="AI956" s="109"/>
      <c r="AJ956" s="109"/>
      <c r="AK956" s="109"/>
      <c r="AL956" s="109"/>
      <c r="AM956" s="109"/>
      <c r="AN956" s="109"/>
      <c r="AO956" s="109"/>
      <c r="AP956" s="109"/>
      <c r="AQ956" s="109"/>
      <c r="AR956" s="109"/>
      <c r="AS956" s="109"/>
      <c r="AT956" s="109"/>
      <c r="AU956" s="109"/>
      <c r="AV956" s="109"/>
      <c r="AW956" s="109"/>
      <c r="AX956" s="109"/>
      <c r="AY956" s="109"/>
      <c r="AZ956" s="109"/>
    </row>
    <row r="957" spans="20:52" x14ac:dyDescent="0.45">
      <c r="T957" s="109"/>
      <c r="U957" s="109"/>
      <c r="V957" s="109"/>
      <c r="W957" s="109"/>
      <c r="X957" s="109"/>
      <c r="Y957" s="109"/>
      <c r="Z957" s="109"/>
      <c r="AA957" s="109"/>
      <c r="AB957" s="109"/>
      <c r="AC957" s="109"/>
      <c r="AD957" s="109"/>
      <c r="AE957" s="109"/>
      <c r="AF957" s="109"/>
      <c r="AG957" s="109"/>
      <c r="AH957" s="109"/>
      <c r="AI957" s="109"/>
      <c r="AJ957" s="109"/>
      <c r="AK957" s="109"/>
      <c r="AL957" s="109"/>
      <c r="AM957" s="109"/>
      <c r="AN957" s="109"/>
      <c r="AO957" s="109"/>
      <c r="AP957" s="109"/>
      <c r="AQ957" s="109"/>
      <c r="AR957" s="109"/>
      <c r="AS957" s="109"/>
      <c r="AT957" s="109"/>
      <c r="AU957" s="109"/>
      <c r="AV957" s="109"/>
      <c r="AW957" s="109"/>
      <c r="AX957" s="109"/>
      <c r="AY957" s="109"/>
      <c r="AZ957" s="109"/>
    </row>
    <row r="958" spans="20:52" x14ac:dyDescent="0.45">
      <c r="T958" s="109"/>
      <c r="U958" s="109"/>
      <c r="V958" s="109"/>
      <c r="W958" s="109"/>
      <c r="X958" s="109"/>
      <c r="Y958" s="109"/>
      <c r="Z958" s="109"/>
      <c r="AA958" s="109"/>
      <c r="AB958" s="109"/>
      <c r="AC958" s="109"/>
      <c r="AD958" s="109"/>
      <c r="AE958" s="109"/>
      <c r="AF958" s="109"/>
      <c r="AG958" s="109"/>
      <c r="AH958" s="109"/>
      <c r="AI958" s="109"/>
      <c r="AJ958" s="109"/>
      <c r="AK958" s="109"/>
      <c r="AL958" s="109"/>
      <c r="AM958" s="109"/>
      <c r="AN958" s="109"/>
      <c r="AO958" s="109"/>
      <c r="AP958" s="109"/>
      <c r="AQ958" s="109"/>
      <c r="AR958" s="109"/>
      <c r="AS958" s="109"/>
      <c r="AT958" s="109"/>
      <c r="AU958" s="109"/>
      <c r="AV958" s="109"/>
      <c r="AW958" s="109"/>
      <c r="AX958" s="109"/>
      <c r="AY958" s="109"/>
      <c r="AZ958" s="109"/>
    </row>
    <row r="959" spans="20:52" x14ac:dyDescent="0.45">
      <c r="T959" s="109"/>
      <c r="U959" s="109"/>
      <c r="V959" s="109"/>
      <c r="W959" s="109"/>
      <c r="X959" s="109"/>
      <c r="Y959" s="109"/>
      <c r="Z959" s="109"/>
      <c r="AA959" s="109"/>
      <c r="AB959" s="109"/>
      <c r="AC959" s="109"/>
      <c r="AD959" s="109"/>
      <c r="AE959" s="109"/>
      <c r="AF959" s="109"/>
      <c r="AG959" s="109"/>
      <c r="AH959" s="109"/>
      <c r="AI959" s="109"/>
      <c r="AJ959" s="109"/>
      <c r="AK959" s="109"/>
      <c r="AL959" s="109"/>
      <c r="AM959" s="109"/>
      <c r="AN959" s="109"/>
      <c r="AO959" s="109"/>
      <c r="AP959" s="109"/>
      <c r="AQ959" s="109"/>
      <c r="AR959" s="109"/>
      <c r="AS959" s="109"/>
      <c r="AT959" s="109"/>
      <c r="AU959" s="109"/>
      <c r="AV959" s="109"/>
      <c r="AW959" s="109"/>
      <c r="AX959" s="109"/>
      <c r="AY959" s="109"/>
      <c r="AZ959" s="109"/>
    </row>
    <row r="960" spans="20:52" x14ac:dyDescent="0.45">
      <c r="T960" s="109"/>
      <c r="U960" s="109"/>
      <c r="V960" s="109"/>
      <c r="W960" s="109"/>
      <c r="X960" s="109"/>
      <c r="Y960" s="109"/>
      <c r="Z960" s="109"/>
      <c r="AA960" s="109"/>
      <c r="AB960" s="109"/>
      <c r="AC960" s="109"/>
      <c r="AD960" s="109"/>
      <c r="AE960" s="109"/>
      <c r="AF960" s="109"/>
      <c r="AG960" s="109"/>
      <c r="AH960" s="109"/>
      <c r="AI960" s="109"/>
      <c r="AJ960" s="109"/>
      <c r="AK960" s="109"/>
      <c r="AL960" s="109"/>
      <c r="AM960" s="109"/>
      <c r="AN960" s="109"/>
      <c r="AO960" s="109"/>
      <c r="AP960" s="109"/>
      <c r="AQ960" s="109"/>
      <c r="AR960" s="109"/>
      <c r="AS960" s="109"/>
      <c r="AT960" s="109"/>
      <c r="AU960" s="109"/>
      <c r="AV960" s="109"/>
      <c r="AW960" s="109"/>
      <c r="AX960" s="109"/>
      <c r="AY960" s="109"/>
      <c r="AZ960" s="109"/>
    </row>
    <row r="961" spans="20:52" x14ac:dyDescent="0.45">
      <c r="T961" s="109"/>
      <c r="U961" s="109"/>
      <c r="V961" s="109"/>
      <c r="W961" s="109"/>
      <c r="X961" s="109"/>
      <c r="Y961" s="109"/>
      <c r="Z961" s="109"/>
      <c r="AA961" s="109"/>
      <c r="AB961" s="109"/>
      <c r="AC961" s="109"/>
      <c r="AD961" s="109"/>
      <c r="AE961" s="109"/>
      <c r="AF961" s="109"/>
      <c r="AG961" s="109"/>
      <c r="AH961" s="109"/>
      <c r="AI961" s="109"/>
      <c r="AJ961" s="109"/>
      <c r="AK961" s="109"/>
      <c r="AL961" s="109"/>
      <c r="AM961" s="109"/>
      <c r="AN961" s="109"/>
      <c r="AO961" s="109"/>
      <c r="AP961" s="109"/>
      <c r="AQ961" s="109"/>
      <c r="AR961" s="109"/>
      <c r="AS961" s="109"/>
      <c r="AT961" s="109"/>
      <c r="AU961" s="109"/>
      <c r="AV961" s="109"/>
      <c r="AW961" s="109"/>
      <c r="AX961" s="109"/>
      <c r="AY961" s="109"/>
      <c r="AZ961" s="109"/>
    </row>
    <row r="962" spans="20:52" x14ac:dyDescent="0.45">
      <c r="T962" s="109"/>
      <c r="U962" s="109"/>
      <c r="V962" s="109"/>
      <c r="W962" s="109"/>
      <c r="X962" s="109"/>
      <c r="Y962" s="109"/>
      <c r="Z962" s="109"/>
      <c r="AA962" s="109"/>
      <c r="AB962" s="109"/>
      <c r="AC962" s="109"/>
      <c r="AD962" s="109"/>
      <c r="AE962" s="109"/>
      <c r="AF962" s="109"/>
      <c r="AG962" s="109"/>
      <c r="AH962" s="109"/>
      <c r="AI962" s="109"/>
      <c r="AJ962" s="109"/>
      <c r="AK962" s="109"/>
      <c r="AL962" s="109"/>
      <c r="AM962" s="109"/>
      <c r="AN962" s="109"/>
      <c r="AO962" s="109"/>
      <c r="AP962" s="109"/>
      <c r="AQ962" s="109"/>
      <c r="AR962" s="109"/>
      <c r="AS962" s="109"/>
      <c r="AT962" s="109"/>
      <c r="AU962" s="109"/>
      <c r="AV962" s="109"/>
      <c r="AW962" s="109"/>
      <c r="AX962" s="109"/>
      <c r="AY962" s="109"/>
      <c r="AZ962" s="109"/>
    </row>
    <row r="963" spans="20:52" x14ac:dyDescent="0.45">
      <c r="T963" s="109"/>
      <c r="U963" s="109"/>
      <c r="V963" s="109"/>
      <c r="W963" s="109"/>
      <c r="X963" s="109"/>
      <c r="Y963" s="109"/>
      <c r="Z963" s="109"/>
      <c r="AA963" s="109"/>
      <c r="AB963" s="109"/>
      <c r="AC963" s="109"/>
      <c r="AD963" s="109"/>
      <c r="AE963" s="109"/>
      <c r="AF963" s="109"/>
      <c r="AG963" s="109"/>
      <c r="AH963" s="109"/>
      <c r="AI963" s="109"/>
      <c r="AJ963" s="109"/>
      <c r="AK963" s="109"/>
      <c r="AL963" s="109"/>
      <c r="AM963" s="109"/>
      <c r="AN963" s="109"/>
      <c r="AO963" s="109"/>
      <c r="AP963" s="109"/>
      <c r="AQ963" s="109"/>
      <c r="AR963" s="109"/>
      <c r="AS963" s="109"/>
      <c r="AT963" s="109"/>
      <c r="AU963" s="109"/>
      <c r="AV963" s="109"/>
      <c r="AW963" s="109"/>
      <c r="AX963" s="109"/>
      <c r="AY963" s="109"/>
      <c r="AZ963" s="109"/>
    </row>
    <row r="964" spans="20:52" x14ac:dyDescent="0.45">
      <c r="T964" s="109"/>
      <c r="U964" s="109"/>
      <c r="V964" s="109"/>
      <c r="W964" s="109"/>
      <c r="X964" s="109"/>
      <c r="Y964" s="109"/>
      <c r="Z964" s="109"/>
      <c r="AA964" s="109"/>
      <c r="AB964" s="109"/>
      <c r="AC964" s="109"/>
      <c r="AD964" s="109"/>
      <c r="AE964" s="109"/>
      <c r="AF964" s="109"/>
      <c r="AG964" s="109"/>
      <c r="AH964" s="109"/>
      <c r="AI964" s="109"/>
      <c r="AJ964" s="109"/>
      <c r="AK964" s="109"/>
      <c r="AL964" s="109"/>
      <c r="AM964" s="109"/>
      <c r="AN964" s="109"/>
      <c r="AO964" s="109"/>
      <c r="AP964" s="109"/>
      <c r="AQ964" s="109"/>
      <c r="AR964" s="109"/>
      <c r="AS964" s="109"/>
      <c r="AT964" s="109"/>
      <c r="AU964" s="109"/>
      <c r="AV964" s="109"/>
      <c r="AW964" s="109"/>
      <c r="AX964" s="109"/>
      <c r="AY964" s="109"/>
      <c r="AZ964" s="109"/>
    </row>
    <row r="965" spans="20:52" x14ac:dyDescent="0.45">
      <c r="T965" s="109"/>
      <c r="U965" s="109"/>
      <c r="V965" s="109"/>
      <c r="W965" s="109"/>
      <c r="X965" s="109"/>
      <c r="Y965" s="109"/>
      <c r="Z965" s="109"/>
      <c r="AA965" s="109"/>
      <c r="AB965" s="109"/>
      <c r="AC965" s="109"/>
      <c r="AD965" s="109"/>
      <c r="AE965" s="109"/>
      <c r="AF965" s="109"/>
      <c r="AG965" s="109"/>
      <c r="AH965" s="109"/>
      <c r="AI965" s="109"/>
      <c r="AJ965" s="109"/>
      <c r="AK965" s="109"/>
      <c r="AL965" s="109"/>
      <c r="AM965" s="109"/>
      <c r="AN965" s="109"/>
      <c r="AO965" s="109"/>
      <c r="AP965" s="109"/>
      <c r="AQ965" s="109"/>
      <c r="AR965" s="109"/>
      <c r="AS965" s="109"/>
      <c r="AT965" s="109"/>
      <c r="AU965" s="109"/>
      <c r="AV965" s="109"/>
      <c r="AW965" s="109"/>
      <c r="AX965" s="109"/>
      <c r="AY965" s="109"/>
      <c r="AZ965" s="109"/>
    </row>
    <row r="966" spans="20:52" x14ac:dyDescent="0.45">
      <c r="T966" s="109"/>
      <c r="U966" s="109"/>
      <c r="V966" s="109"/>
      <c r="W966" s="109"/>
      <c r="X966" s="109"/>
      <c r="Y966" s="109"/>
      <c r="Z966" s="109"/>
      <c r="AA966" s="109"/>
      <c r="AB966" s="109"/>
      <c r="AC966" s="109"/>
      <c r="AD966" s="109"/>
      <c r="AE966" s="109"/>
      <c r="AF966" s="109"/>
      <c r="AG966" s="109"/>
      <c r="AH966" s="109"/>
      <c r="AI966" s="109"/>
      <c r="AJ966" s="109"/>
      <c r="AK966" s="109"/>
      <c r="AL966" s="109"/>
      <c r="AM966" s="109"/>
      <c r="AN966" s="109"/>
      <c r="AO966" s="109"/>
      <c r="AP966" s="109"/>
      <c r="AQ966" s="109"/>
      <c r="AR966" s="109"/>
      <c r="AS966" s="109"/>
      <c r="AT966" s="109"/>
      <c r="AU966" s="109"/>
      <c r="AV966" s="109"/>
      <c r="AW966" s="109"/>
      <c r="AX966" s="109"/>
      <c r="AY966" s="109"/>
      <c r="AZ966" s="109"/>
    </row>
    <row r="967" spans="20:52" x14ac:dyDescent="0.45">
      <c r="T967" s="109"/>
      <c r="U967" s="109"/>
      <c r="V967" s="109"/>
      <c r="W967" s="109"/>
      <c r="X967" s="109"/>
      <c r="Y967" s="109"/>
      <c r="Z967" s="109"/>
      <c r="AA967" s="109"/>
      <c r="AB967" s="109"/>
      <c r="AC967" s="109"/>
      <c r="AD967" s="109"/>
      <c r="AE967" s="109"/>
      <c r="AF967" s="109"/>
      <c r="AG967" s="109"/>
      <c r="AH967" s="109"/>
      <c r="AI967" s="109"/>
      <c r="AJ967" s="109"/>
      <c r="AK967" s="109"/>
      <c r="AL967" s="109"/>
      <c r="AM967" s="109"/>
      <c r="AN967" s="109"/>
      <c r="AO967" s="109"/>
      <c r="AP967" s="109"/>
      <c r="AQ967" s="109"/>
      <c r="AR967" s="109"/>
      <c r="AS967" s="109"/>
      <c r="AT967" s="109"/>
      <c r="AU967" s="109"/>
      <c r="AV967" s="109"/>
      <c r="AW967" s="109"/>
      <c r="AX967" s="109"/>
      <c r="AY967" s="109"/>
      <c r="AZ967" s="109"/>
    </row>
    <row r="968" spans="20:52" x14ac:dyDescent="0.45">
      <c r="T968" s="109"/>
      <c r="U968" s="109"/>
      <c r="V968" s="109"/>
      <c r="W968" s="109"/>
      <c r="X968" s="109"/>
      <c r="Y968" s="109"/>
      <c r="Z968" s="109"/>
      <c r="AA968" s="109"/>
      <c r="AB968" s="109"/>
      <c r="AC968" s="109"/>
      <c r="AD968" s="109"/>
      <c r="AE968" s="109"/>
      <c r="AF968" s="109"/>
      <c r="AG968" s="109"/>
      <c r="AH968" s="109"/>
      <c r="AI968" s="109"/>
      <c r="AJ968" s="109"/>
      <c r="AK968" s="109"/>
      <c r="AL968" s="109"/>
      <c r="AM968" s="109"/>
      <c r="AN968" s="109"/>
      <c r="AO968" s="109"/>
      <c r="AP968" s="109"/>
      <c r="AQ968" s="109"/>
      <c r="AR968" s="109"/>
      <c r="AS968" s="109"/>
      <c r="AT968" s="109"/>
      <c r="AU968" s="109"/>
      <c r="AV968" s="109"/>
      <c r="AW968" s="109"/>
      <c r="AX968" s="109"/>
      <c r="AY968" s="109"/>
      <c r="AZ968" s="109"/>
    </row>
    <row r="969" spans="20:52" x14ac:dyDescent="0.45">
      <c r="T969" s="109"/>
      <c r="U969" s="109"/>
      <c r="V969" s="109"/>
      <c r="W969" s="109"/>
      <c r="X969" s="109"/>
      <c r="Y969" s="109"/>
      <c r="Z969" s="109"/>
      <c r="AA969" s="109"/>
      <c r="AB969" s="109"/>
      <c r="AC969" s="109"/>
      <c r="AD969" s="109"/>
      <c r="AE969" s="109"/>
      <c r="AF969" s="109"/>
      <c r="AG969" s="109"/>
      <c r="AH969" s="109"/>
      <c r="AI969" s="109"/>
      <c r="AJ969" s="109"/>
      <c r="AK969" s="109"/>
      <c r="AL969" s="109"/>
      <c r="AM969" s="109"/>
      <c r="AN969" s="109"/>
      <c r="AO969" s="109"/>
      <c r="AP969" s="109"/>
      <c r="AQ969" s="109"/>
      <c r="AR969" s="109"/>
      <c r="AS969" s="109"/>
      <c r="AT969" s="109"/>
      <c r="AU969" s="109"/>
      <c r="AV969" s="109"/>
      <c r="AW969" s="109"/>
      <c r="AX969" s="109"/>
      <c r="AY969" s="109"/>
      <c r="AZ969" s="109"/>
    </row>
    <row r="970" spans="20:52" x14ac:dyDescent="0.45">
      <c r="T970" s="109"/>
      <c r="U970" s="109"/>
      <c r="V970" s="109"/>
      <c r="W970" s="109"/>
      <c r="X970" s="109"/>
      <c r="Y970" s="109"/>
      <c r="Z970" s="109"/>
      <c r="AA970" s="109"/>
      <c r="AB970" s="109"/>
      <c r="AC970" s="109"/>
      <c r="AD970" s="109"/>
      <c r="AE970" s="109"/>
      <c r="AF970" s="109"/>
      <c r="AG970" s="109"/>
      <c r="AH970" s="109"/>
      <c r="AI970" s="109"/>
      <c r="AJ970" s="109"/>
      <c r="AK970" s="109"/>
      <c r="AL970" s="109"/>
      <c r="AM970" s="109"/>
      <c r="AN970" s="109"/>
      <c r="AO970" s="109"/>
      <c r="AP970" s="109"/>
      <c r="AQ970" s="109"/>
      <c r="AR970" s="109"/>
      <c r="AS970" s="109"/>
      <c r="AT970" s="109"/>
      <c r="AU970" s="109"/>
      <c r="AV970" s="109"/>
      <c r="AW970" s="109"/>
      <c r="AX970" s="109"/>
      <c r="AY970" s="109"/>
      <c r="AZ970" s="109"/>
    </row>
    <row r="971" spans="20:52" x14ac:dyDescent="0.45">
      <c r="T971" s="109"/>
      <c r="U971" s="109"/>
      <c r="V971" s="109"/>
      <c r="W971" s="109"/>
      <c r="X971" s="109"/>
      <c r="Y971" s="109"/>
      <c r="Z971" s="109"/>
      <c r="AA971" s="109"/>
      <c r="AB971" s="109"/>
      <c r="AC971" s="109"/>
      <c r="AD971" s="109"/>
      <c r="AE971" s="109"/>
      <c r="AF971" s="109"/>
      <c r="AG971" s="109"/>
      <c r="AH971" s="109"/>
      <c r="AI971" s="109"/>
      <c r="AJ971" s="109"/>
      <c r="AK971" s="109"/>
      <c r="AL971" s="109"/>
      <c r="AM971" s="109"/>
      <c r="AN971" s="109"/>
      <c r="AO971" s="109"/>
      <c r="AP971" s="109"/>
      <c r="AQ971" s="109"/>
      <c r="AR971" s="109"/>
      <c r="AS971" s="109"/>
      <c r="AT971" s="109"/>
      <c r="AU971" s="109"/>
      <c r="AV971" s="109"/>
      <c r="AW971" s="109"/>
      <c r="AX971" s="109"/>
      <c r="AY971" s="109"/>
      <c r="AZ971" s="109"/>
    </row>
    <row r="972" spans="20:52" x14ac:dyDescent="0.45">
      <c r="T972" s="109"/>
      <c r="U972" s="109"/>
      <c r="V972" s="109"/>
      <c r="W972" s="109"/>
      <c r="X972" s="109"/>
      <c r="Y972" s="109"/>
      <c r="Z972" s="109"/>
      <c r="AA972" s="109"/>
      <c r="AB972" s="109"/>
      <c r="AC972" s="109"/>
      <c r="AD972" s="109"/>
      <c r="AE972" s="109"/>
      <c r="AF972" s="109"/>
      <c r="AG972" s="109"/>
      <c r="AH972" s="109"/>
      <c r="AI972" s="109"/>
      <c r="AJ972" s="109"/>
      <c r="AK972" s="109"/>
      <c r="AL972" s="109"/>
      <c r="AM972" s="109"/>
      <c r="AN972" s="109"/>
      <c r="AO972" s="109"/>
      <c r="AP972" s="109"/>
      <c r="AQ972" s="109"/>
      <c r="AR972" s="109"/>
      <c r="AS972" s="109"/>
      <c r="AT972" s="109"/>
      <c r="AU972" s="109"/>
      <c r="AV972" s="109"/>
      <c r="AW972" s="109"/>
      <c r="AX972" s="109"/>
      <c r="AY972" s="109"/>
      <c r="AZ972" s="109"/>
    </row>
    <row r="973" spans="20:52" x14ac:dyDescent="0.45">
      <c r="T973" s="109"/>
      <c r="U973" s="109"/>
      <c r="V973" s="109"/>
      <c r="W973" s="109"/>
      <c r="X973" s="109"/>
      <c r="Y973" s="109"/>
      <c r="Z973" s="109"/>
      <c r="AA973" s="109"/>
      <c r="AB973" s="109"/>
      <c r="AC973" s="109"/>
      <c r="AD973" s="109"/>
      <c r="AE973" s="109"/>
      <c r="AF973" s="109"/>
      <c r="AG973" s="109"/>
      <c r="AH973" s="109"/>
      <c r="AI973" s="109"/>
      <c r="AJ973" s="109"/>
      <c r="AK973" s="109"/>
      <c r="AL973" s="109"/>
      <c r="AM973" s="109"/>
      <c r="AN973" s="109"/>
      <c r="AO973" s="109"/>
      <c r="AP973" s="109"/>
      <c r="AQ973" s="109"/>
      <c r="AR973" s="109"/>
      <c r="AS973" s="109"/>
      <c r="AT973" s="109"/>
      <c r="AU973" s="109"/>
      <c r="AV973" s="109"/>
      <c r="AW973" s="109"/>
      <c r="AX973" s="109"/>
      <c r="AY973" s="109"/>
      <c r="AZ973" s="109"/>
    </row>
    <row r="974" spans="20:52" x14ac:dyDescent="0.45">
      <c r="T974" s="109"/>
      <c r="U974" s="109"/>
      <c r="V974" s="109"/>
      <c r="W974" s="109"/>
      <c r="X974" s="109"/>
      <c r="Y974" s="109"/>
      <c r="Z974" s="109"/>
      <c r="AA974" s="109"/>
      <c r="AB974" s="109"/>
      <c r="AC974" s="109"/>
      <c r="AD974" s="109"/>
      <c r="AE974" s="109"/>
      <c r="AF974" s="109"/>
      <c r="AG974" s="109"/>
      <c r="AH974" s="109"/>
      <c r="AI974" s="109"/>
      <c r="AJ974" s="109"/>
      <c r="AK974" s="109"/>
      <c r="AL974" s="109"/>
      <c r="AM974" s="109"/>
      <c r="AN974" s="109"/>
      <c r="AO974" s="109"/>
      <c r="AP974" s="109"/>
      <c r="AQ974" s="109"/>
      <c r="AR974" s="109"/>
      <c r="AS974" s="109"/>
      <c r="AT974" s="109"/>
      <c r="AU974" s="109"/>
      <c r="AV974" s="109"/>
      <c r="AW974" s="109"/>
      <c r="AX974" s="109"/>
      <c r="AY974" s="109"/>
      <c r="AZ974" s="109"/>
    </row>
    <row r="975" spans="20:52" x14ac:dyDescent="0.45">
      <c r="T975" s="109"/>
      <c r="U975" s="109"/>
      <c r="V975" s="109"/>
      <c r="W975" s="109"/>
      <c r="X975" s="109"/>
      <c r="Y975" s="109"/>
      <c r="Z975" s="109"/>
      <c r="AA975" s="109"/>
      <c r="AB975" s="109"/>
      <c r="AC975" s="109"/>
      <c r="AD975" s="109"/>
      <c r="AE975" s="109"/>
      <c r="AF975" s="109"/>
      <c r="AG975" s="109"/>
      <c r="AH975" s="109"/>
      <c r="AI975" s="109"/>
      <c r="AJ975" s="109"/>
      <c r="AK975" s="109"/>
      <c r="AL975" s="109"/>
      <c r="AM975" s="109"/>
      <c r="AN975" s="109"/>
      <c r="AO975" s="109"/>
      <c r="AP975" s="109"/>
      <c r="AQ975" s="109"/>
      <c r="AR975" s="109"/>
      <c r="AS975" s="109"/>
      <c r="AT975" s="109"/>
      <c r="AU975" s="109"/>
      <c r="AV975" s="109"/>
      <c r="AW975" s="109"/>
      <c r="AX975" s="109"/>
      <c r="AY975" s="109"/>
      <c r="AZ975" s="109"/>
    </row>
    <row r="976" spans="20:52" x14ac:dyDescent="0.45">
      <c r="T976" s="109"/>
      <c r="U976" s="109"/>
      <c r="V976" s="109"/>
      <c r="W976" s="109"/>
      <c r="X976" s="109"/>
      <c r="Y976" s="109"/>
      <c r="Z976" s="109"/>
      <c r="AA976" s="109"/>
      <c r="AB976" s="109"/>
      <c r="AC976" s="109"/>
      <c r="AD976" s="109"/>
      <c r="AE976" s="109"/>
      <c r="AF976" s="109"/>
      <c r="AG976" s="109"/>
      <c r="AH976" s="109"/>
      <c r="AI976" s="109"/>
      <c r="AJ976" s="109"/>
      <c r="AK976" s="109"/>
      <c r="AL976" s="109"/>
      <c r="AM976" s="109"/>
      <c r="AN976" s="109"/>
      <c r="AO976" s="109"/>
      <c r="AP976" s="109"/>
      <c r="AQ976" s="109"/>
      <c r="AR976" s="109"/>
      <c r="AS976" s="109"/>
      <c r="AT976" s="109"/>
      <c r="AU976" s="109"/>
      <c r="AV976" s="109"/>
      <c r="AW976" s="109"/>
      <c r="AX976" s="109"/>
      <c r="AY976" s="109"/>
      <c r="AZ976" s="109"/>
    </row>
    <row r="977" spans="20:52" x14ac:dyDescent="0.45">
      <c r="T977" s="109"/>
      <c r="U977" s="109"/>
      <c r="V977" s="109"/>
      <c r="W977" s="109"/>
      <c r="X977" s="109"/>
      <c r="Y977" s="109"/>
      <c r="Z977" s="109"/>
      <c r="AA977" s="109"/>
      <c r="AB977" s="109"/>
      <c r="AC977" s="109"/>
      <c r="AD977" s="109"/>
      <c r="AE977" s="109"/>
      <c r="AF977" s="109"/>
      <c r="AG977" s="109"/>
      <c r="AH977" s="109"/>
      <c r="AI977" s="109"/>
      <c r="AJ977" s="109"/>
      <c r="AK977" s="109"/>
      <c r="AL977" s="109"/>
      <c r="AM977" s="109"/>
      <c r="AN977" s="109"/>
      <c r="AO977" s="109"/>
      <c r="AP977" s="109"/>
      <c r="AQ977" s="109"/>
      <c r="AR977" s="109"/>
      <c r="AS977" s="109"/>
      <c r="AT977" s="109"/>
      <c r="AU977" s="109"/>
      <c r="AV977" s="109"/>
      <c r="AW977" s="109"/>
      <c r="AX977" s="109"/>
      <c r="AY977" s="109"/>
      <c r="AZ977" s="109"/>
    </row>
    <row r="978" spans="20:52" x14ac:dyDescent="0.45">
      <c r="T978" s="109"/>
      <c r="U978" s="109"/>
      <c r="V978" s="109"/>
      <c r="W978" s="109"/>
      <c r="X978" s="109"/>
      <c r="Y978" s="109"/>
      <c r="Z978" s="109"/>
      <c r="AA978" s="109"/>
      <c r="AB978" s="109"/>
      <c r="AC978" s="109"/>
      <c r="AD978" s="109"/>
      <c r="AE978" s="109"/>
      <c r="AF978" s="109"/>
      <c r="AG978" s="109"/>
      <c r="AH978" s="109"/>
      <c r="AI978" s="109"/>
      <c r="AJ978" s="109"/>
      <c r="AK978" s="109"/>
      <c r="AL978" s="109"/>
      <c r="AM978" s="109"/>
      <c r="AN978" s="109"/>
      <c r="AO978" s="109"/>
      <c r="AP978" s="109"/>
      <c r="AQ978" s="109"/>
      <c r="AR978" s="109"/>
      <c r="AS978" s="109"/>
      <c r="AT978" s="109"/>
      <c r="AU978" s="109"/>
      <c r="AV978" s="109"/>
      <c r="AW978" s="109"/>
      <c r="AX978" s="109"/>
      <c r="AY978" s="109"/>
      <c r="AZ978" s="109"/>
    </row>
    <row r="979" spans="20:52" x14ac:dyDescent="0.45">
      <c r="T979" s="109"/>
      <c r="U979" s="109"/>
      <c r="V979" s="109"/>
      <c r="W979" s="109"/>
      <c r="X979" s="109"/>
      <c r="Y979" s="109"/>
      <c r="Z979" s="109"/>
      <c r="AA979" s="109"/>
      <c r="AB979" s="109"/>
      <c r="AC979" s="109"/>
      <c r="AD979" s="109"/>
      <c r="AE979" s="109"/>
      <c r="AF979" s="109"/>
      <c r="AG979" s="109"/>
      <c r="AH979" s="109"/>
      <c r="AI979" s="109"/>
      <c r="AJ979" s="109"/>
      <c r="AK979" s="109"/>
      <c r="AL979" s="109"/>
      <c r="AM979" s="109"/>
      <c r="AN979" s="109"/>
      <c r="AO979" s="109"/>
      <c r="AP979" s="109"/>
      <c r="AQ979" s="109"/>
      <c r="AR979" s="109"/>
      <c r="AS979" s="109"/>
      <c r="AT979" s="109"/>
      <c r="AU979" s="109"/>
      <c r="AV979" s="109"/>
      <c r="AW979" s="109"/>
      <c r="AX979" s="109"/>
      <c r="AY979" s="109"/>
      <c r="AZ979" s="109"/>
    </row>
    <row r="980" spans="20:52" x14ac:dyDescent="0.45">
      <c r="T980" s="109"/>
      <c r="U980" s="109"/>
      <c r="V980" s="109"/>
      <c r="W980" s="109"/>
      <c r="X980" s="109"/>
      <c r="Y980" s="109"/>
      <c r="Z980" s="109"/>
      <c r="AA980" s="109"/>
      <c r="AB980" s="109"/>
      <c r="AC980" s="109"/>
      <c r="AD980" s="109"/>
      <c r="AE980" s="109"/>
      <c r="AF980" s="109"/>
      <c r="AG980" s="109"/>
      <c r="AH980" s="109"/>
      <c r="AI980" s="109"/>
      <c r="AJ980" s="109"/>
      <c r="AK980" s="109"/>
      <c r="AL980" s="109"/>
      <c r="AM980" s="109"/>
      <c r="AN980" s="109"/>
      <c r="AO980" s="109"/>
      <c r="AP980" s="109"/>
      <c r="AQ980" s="109"/>
      <c r="AR980" s="109"/>
      <c r="AS980" s="109"/>
      <c r="AT980" s="109"/>
      <c r="AU980" s="109"/>
      <c r="AV980" s="109"/>
      <c r="AW980" s="109"/>
      <c r="AX980" s="109"/>
      <c r="AY980" s="109"/>
      <c r="AZ980" s="109"/>
    </row>
    <row r="981" spans="20:52" x14ac:dyDescent="0.45">
      <c r="T981" s="109"/>
      <c r="U981" s="109"/>
      <c r="V981" s="109"/>
      <c r="W981" s="109"/>
      <c r="X981" s="109"/>
      <c r="Y981" s="109"/>
      <c r="Z981" s="109"/>
      <c r="AA981" s="109"/>
      <c r="AB981" s="109"/>
      <c r="AC981" s="109"/>
      <c r="AD981" s="109"/>
      <c r="AE981" s="109"/>
      <c r="AF981" s="109"/>
      <c r="AG981" s="109"/>
      <c r="AH981" s="109"/>
      <c r="AI981" s="109"/>
      <c r="AJ981" s="109"/>
      <c r="AK981" s="109"/>
      <c r="AL981" s="109"/>
      <c r="AM981" s="109"/>
      <c r="AN981" s="109"/>
      <c r="AO981" s="109"/>
      <c r="AP981" s="109"/>
      <c r="AQ981" s="109"/>
      <c r="AR981" s="109"/>
      <c r="AS981" s="109"/>
      <c r="AT981" s="109"/>
      <c r="AU981" s="109"/>
      <c r="AV981" s="109"/>
      <c r="AW981" s="109"/>
      <c r="AX981" s="109"/>
      <c r="AY981" s="109"/>
      <c r="AZ981" s="109"/>
    </row>
    <row r="982" spans="20:52" x14ac:dyDescent="0.45">
      <c r="T982" s="109"/>
      <c r="U982" s="109"/>
      <c r="V982" s="109"/>
      <c r="W982" s="109"/>
      <c r="X982" s="109"/>
      <c r="Y982" s="109"/>
      <c r="Z982" s="109"/>
      <c r="AA982" s="109"/>
      <c r="AB982" s="109"/>
      <c r="AC982" s="109"/>
      <c r="AD982" s="109"/>
      <c r="AE982" s="109"/>
      <c r="AF982" s="109"/>
      <c r="AG982" s="109"/>
      <c r="AH982" s="109"/>
      <c r="AI982" s="109"/>
      <c r="AJ982" s="109"/>
      <c r="AK982" s="109"/>
      <c r="AL982" s="109"/>
      <c r="AM982" s="109"/>
      <c r="AN982" s="109"/>
      <c r="AO982" s="109"/>
      <c r="AP982" s="109"/>
      <c r="AQ982" s="109"/>
      <c r="AR982" s="109"/>
      <c r="AS982" s="109"/>
      <c r="AT982" s="109"/>
      <c r="AU982" s="109"/>
      <c r="AV982" s="109"/>
      <c r="AW982" s="109"/>
      <c r="AX982" s="109"/>
      <c r="AY982" s="109"/>
      <c r="AZ982" s="109"/>
    </row>
    <row r="983" spans="20:52" x14ac:dyDescent="0.45">
      <c r="T983" s="109"/>
      <c r="U983" s="109"/>
      <c r="V983" s="109"/>
      <c r="W983" s="109"/>
      <c r="X983" s="109"/>
      <c r="Y983" s="109"/>
      <c r="Z983" s="109"/>
      <c r="AA983" s="109"/>
      <c r="AB983" s="109"/>
      <c r="AC983" s="109"/>
      <c r="AD983" s="109"/>
      <c r="AE983" s="109"/>
      <c r="AF983" s="109"/>
      <c r="AG983" s="109"/>
      <c r="AH983" s="109"/>
      <c r="AI983" s="109"/>
      <c r="AJ983" s="109"/>
      <c r="AK983" s="109"/>
      <c r="AL983" s="109"/>
      <c r="AM983" s="109"/>
      <c r="AN983" s="109"/>
      <c r="AO983" s="109"/>
      <c r="AP983" s="109"/>
      <c r="AQ983" s="109"/>
      <c r="AR983" s="109"/>
      <c r="AS983" s="109"/>
      <c r="AT983" s="109"/>
      <c r="AU983" s="109"/>
      <c r="AV983" s="109"/>
      <c r="AW983" s="109"/>
      <c r="AX983" s="109"/>
      <c r="AY983" s="109"/>
      <c r="AZ983" s="109"/>
    </row>
    <row r="984" spans="20:52" x14ac:dyDescent="0.45">
      <c r="T984" s="109"/>
      <c r="U984" s="109"/>
      <c r="V984" s="109"/>
      <c r="W984" s="109"/>
      <c r="X984" s="109"/>
      <c r="Y984" s="109"/>
      <c r="Z984" s="109"/>
      <c r="AA984" s="109"/>
      <c r="AB984" s="109"/>
      <c r="AC984" s="109"/>
      <c r="AD984" s="109"/>
      <c r="AE984" s="109"/>
      <c r="AF984" s="109"/>
      <c r="AG984" s="109"/>
      <c r="AH984" s="109"/>
      <c r="AI984" s="109"/>
      <c r="AJ984" s="109"/>
      <c r="AK984" s="109"/>
      <c r="AL984" s="109"/>
      <c r="AM984" s="109"/>
      <c r="AN984" s="109"/>
      <c r="AO984" s="109"/>
      <c r="AP984" s="109"/>
      <c r="AQ984" s="109"/>
      <c r="AR984" s="109"/>
      <c r="AS984" s="109"/>
      <c r="AT984" s="109"/>
      <c r="AU984" s="109"/>
      <c r="AV984" s="109"/>
      <c r="AW984" s="109"/>
      <c r="AX984" s="109"/>
      <c r="AY984" s="109"/>
      <c r="AZ984" s="109"/>
    </row>
    <row r="985" spans="20:52" x14ac:dyDescent="0.45">
      <c r="T985" s="109"/>
      <c r="U985" s="109"/>
      <c r="V985" s="109"/>
      <c r="W985" s="109"/>
      <c r="X985" s="109"/>
      <c r="Y985" s="109"/>
      <c r="Z985" s="109"/>
      <c r="AA985" s="109"/>
      <c r="AB985" s="109"/>
      <c r="AC985" s="109"/>
      <c r="AD985" s="109"/>
      <c r="AE985" s="109"/>
      <c r="AF985" s="109"/>
      <c r="AG985" s="109"/>
      <c r="AH985" s="109"/>
      <c r="AI985" s="109"/>
      <c r="AJ985" s="109"/>
      <c r="AK985" s="109"/>
      <c r="AL985" s="109"/>
      <c r="AM985" s="109"/>
      <c r="AN985" s="109"/>
      <c r="AO985" s="109"/>
      <c r="AP985" s="109"/>
      <c r="AQ985" s="109"/>
      <c r="AR985" s="109"/>
      <c r="AS985" s="109"/>
      <c r="AT985" s="109"/>
      <c r="AU985" s="109"/>
      <c r="AV985" s="109"/>
      <c r="AW985" s="109"/>
      <c r="AX985" s="109"/>
      <c r="AY985" s="109"/>
      <c r="AZ985" s="109"/>
    </row>
    <row r="986" spans="20:52" x14ac:dyDescent="0.45">
      <c r="T986" s="109"/>
      <c r="U986" s="109"/>
      <c r="V986" s="109"/>
      <c r="W986" s="109"/>
      <c r="X986" s="109"/>
      <c r="Y986" s="109"/>
      <c r="Z986" s="109"/>
      <c r="AA986" s="109"/>
      <c r="AB986" s="109"/>
      <c r="AC986" s="109"/>
      <c r="AD986" s="109"/>
      <c r="AE986" s="109"/>
      <c r="AF986" s="109"/>
      <c r="AG986" s="109"/>
      <c r="AH986" s="109"/>
      <c r="AI986" s="109"/>
      <c r="AJ986" s="109"/>
      <c r="AK986" s="109"/>
      <c r="AL986" s="109"/>
      <c r="AM986" s="109"/>
      <c r="AN986" s="109"/>
      <c r="AO986" s="109"/>
      <c r="AP986" s="109"/>
      <c r="AQ986" s="109"/>
      <c r="AR986" s="109"/>
      <c r="AS986" s="109"/>
      <c r="AT986" s="109"/>
      <c r="AU986" s="109"/>
      <c r="AV986" s="109"/>
      <c r="AW986" s="109"/>
      <c r="AX986" s="109"/>
      <c r="AY986" s="109"/>
      <c r="AZ986" s="109"/>
    </row>
    <row r="987" spans="20:52" x14ac:dyDescent="0.45">
      <c r="T987" s="109"/>
      <c r="U987" s="109"/>
      <c r="V987" s="109"/>
      <c r="W987" s="109"/>
      <c r="X987" s="109"/>
      <c r="Y987" s="109"/>
      <c r="Z987" s="109"/>
      <c r="AA987" s="109"/>
      <c r="AB987" s="109"/>
      <c r="AC987" s="109"/>
      <c r="AD987" s="109"/>
      <c r="AE987" s="109"/>
      <c r="AF987" s="109"/>
      <c r="AG987" s="109"/>
      <c r="AH987" s="109"/>
      <c r="AI987" s="109"/>
      <c r="AJ987" s="109"/>
      <c r="AK987" s="109"/>
      <c r="AL987" s="109"/>
      <c r="AM987" s="109"/>
      <c r="AN987" s="109"/>
      <c r="AO987" s="109"/>
      <c r="AP987" s="109"/>
      <c r="AQ987" s="109"/>
      <c r="AR987" s="109"/>
      <c r="AS987" s="109"/>
      <c r="AT987" s="109"/>
      <c r="AU987" s="109"/>
      <c r="AV987" s="109"/>
      <c r="AW987" s="109"/>
      <c r="AX987" s="109"/>
      <c r="AY987" s="109"/>
      <c r="AZ987" s="109"/>
    </row>
    <row r="988" spans="20:52" x14ac:dyDescent="0.45">
      <c r="T988" s="109"/>
      <c r="U988" s="109"/>
      <c r="V988" s="109"/>
      <c r="W988" s="109"/>
      <c r="X988" s="109"/>
      <c r="Y988" s="109"/>
      <c r="Z988" s="109"/>
      <c r="AA988" s="109"/>
      <c r="AB988" s="109"/>
      <c r="AC988" s="109"/>
      <c r="AD988" s="109"/>
      <c r="AE988" s="109"/>
      <c r="AF988" s="109"/>
      <c r="AG988" s="109"/>
      <c r="AH988" s="109"/>
      <c r="AI988" s="109"/>
      <c r="AJ988" s="109"/>
      <c r="AK988" s="109"/>
      <c r="AL988" s="109"/>
      <c r="AM988" s="109"/>
      <c r="AN988" s="109"/>
      <c r="AO988" s="109"/>
      <c r="AP988" s="109"/>
      <c r="AQ988" s="109"/>
      <c r="AR988" s="109"/>
      <c r="AS988" s="109"/>
      <c r="AT988" s="109"/>
      <c r="AU988" s="109"/>
      <c r="AV988" s="109"/>
      <c r="AW988" s="109"/>
      <c r="AX988" s="109"/>
      <c r="AY988" s="109"/>
      <c r="AZ988" s="109"/>
    </row>
    <row r="989" spans="20:52" x14ac:dyDescent="0.45">
      <c r="T989" s="109"/>
      <c r="U989" s="109"/>
      <c r="V989" s="109"/>
      <c r="W989" s="109"/>
      <c r="X989" s="109"/>
      <c r="Y989" s="109"/>
      <c r="Z989" s="109"/>
      <c r="AA989" s="109"/>
      <c r="AB989" s="109"/>
      <c r="AC989" s="109"/>
      <c r="AD989" s="109"/>
      <c r="AE989" s="109"/>
      <c r="AF989" s="109"/>
      <c r="AG989" s="109"/>
      <c r="AH989" s="109"/>
      <c r="AI989" s="109"/>
      <c r="AJ989" s="109"/>
      <c r="AK989" s="109"/>
      <c r="AL989" s="109"/>
      <c r="AM989" s="109"/>
      <c r="AN989" s="109"/>
      <c r="AO989" s="109"/>
      <c r="AP989" s="109"/>
      <c r="AQ989" s="109"/>
      <c r="AR989" s="109"/>
      <c r="AS989" s="109"/>
      <c r="AT989" s="109"/>
      <c r="AU989" s="109"/>
      <c r="AV989" s="109"/>
      <c r="AW989" s="109"/>
      <c r="AX989" s="109"/>
      <c r="AY989" s="109"/>
      <c r="AZ989" s="109"/>
    </row>
    <row r="990" spans="20:52" x14ac:dyDescent="0.45">
      <c r="T990" s="109"/>
      <c r="U990" s="109"/>
      <c r="V990" s="109"/>
      <c r="W990" s="109"/>
      <c r="X990" s="109"/>
      <c r="Y990" s="109"/>
      <c r="Z990" s="109"/>
      <c r="AA990" s="109"/>
      <c r="AB990" s="109"/>
      <c r="AC990" s="109"/>
      <c r="AD990" s="109"/>
      <c r="AE990" s="109"/>
      <c r="AF990" s="109"/>
      <c r="AG990" s="109"/>
      <c r="AH990" s="109"/>
      <c r="AI990" s="109"/>
      <c r="AJ990" s="109"/>
      <c r="AK990" s="109"/>
      <c r="AL990" s="109"/>
      <c r="AM990" s="109"/>
      <c r="AN990" s="109"/>
      <c r="AO990" s="109"/>
      <c r="AP990" s="109"/>
      <c r="AQ990" s="109"/>
      <c r="AR990" s="109"/>
      <c r="AS990" s="109"/>
      <c r="AT990" s="109"/>
      <c r="AU990" s="109"/>
      <c r="AV990" s="109"/>
      <c r="AW990" s="109"/>
      <c r="AX990" s="109"/>
      <c r="AY990" s="109"/>
      <c r="AZ990" s="109"/>
    </row>
    <row r="991" spans="20:52" x14ac:dyDescent="0.45">
      <c r="T991" s="109"/>
      <c r="U991" s="109"/>
      <c r="V991" s="109"/>
      <c r="W991" s="109"/>
      <c r="X991" s="109"/>
      <c r="Y991" s="109"/>
      <c r="Z991" s="109"/>
      <c r="AA991" s="109"/>
      <c r="AB991" s="109"/>
      <c r="AC991" s="109"/>
      <c r="AD991" s="109"/>
      <c r="AE991" s="109"/>
      <c r="AF991" s="109"/>
      <c r="AG991" s="109"/>
      <c r="AH991" s="109"/>
      <c r="AI991" s="109"/>
      <c r="AJ991" s="109"/>
      <c r="AK991" s="109"/>
      <c r="AL991" s="109"/>
      <c r="AM991" s="109"/>
      <c r="AN991" s="109"/>
      <c r="AO991" s="109"/>
      <c r="AP991" s="109"/>
      <c r="AQ991" s="109"/>
      <c r="AR991" s="109"/>
      <c r="AS991" s="109"/>
      <c r="AT991" s="109"/>
      <c r="AU991" s="109"/>
      <c r="AV991" s="109"/>
      <c r="AW991" s="109"/>
      <c r="AX991" s="109"/>
      <c r="AY991" s="109"/>
      <c r="AZ991" s="109"/>
    </row>
    <row r="992" spans="20:52" x14ac:dyDescent="0.45">
      <c r="T992" s="109"/>
      <c r="U992" s="109"/>
      <c r="V992" s="109"/>
      <c r="W992" s="109"/>
      <c r="X992" s="109"/>
      <c r="Y992" s="109"/>
      <c r="Z992" s="109"/>
      <c r="AA992" s="109"/>
      <c r="AB992" s="109"/>
      <c r="AC992" s="109"/>
      <c r="AD992" s="109"/>
      <c r="AE992" s="109"/>
      <c r="AF992" s="109"/>
      <c r="AG992" s="109"/>
      <c r="AH992" s="109"/>
      <c r="AI992" s="109"/>
      <c r="AJ992" s="109"/>
      <c r="AK992" s="109"/>
      <c r="AL992" s="109"/>
      <c r="AM992" s="109"/>
      <c r="AN992" s="109"/>
      <c r="AO992" s="109"/>
      <c r="AP992" s="109"/>
      <c r="AQ992" s="109"/>
      <c r="AR992" s="109"/>
      <c r="AS992" s="109"/>
      <c r="AT992" s="109"/>
      <c r="AU992" s="109"/>
      <c r="AV992" s="109"/>
      <c r="AW992" s="109"/>
      <c r="AX992" s="109"/>
      <c r="AY992" s="109"/>
      <c r="AZ992" s="109"/>
    </row>
    <row r="993" spans="20:52" x14ac:dyDescent="0.45">
      <c r="T993" s="109"/>
      <c r="U993" s="109"/>
      <c r="V993" s="109"/>
      <c r="W993" s="109"/>
      <c r="X993" s="109"/>
      <c r="Y993" s="109"/>
      <c r="Z993" s="109"/>
      <c r="AA993" s="109"/>
      <c r="AB993" s="109"/>
      <c r="AC993" s="109"/>
      <c r="AD993" s="109"/>
      <c r="AE993" s="109"/>
      <c r="AF993" s="109"/>
      <c r="AG993" s="109"/>
      <c r="AH993" s="109"/>
      <c r="AI993" s="109"/>
      <c r="AJ993" s="109"/>
      <c r="AK993" s="109"/>
      <c r="AL993" s="109"/>
      <c r="AM993" s="109"/>
      <c r="AN993" s="109"/>
      <c r="AO993" s="109"/>
      <c r="AP993" s="109"/>
      <c r="AQ993" s="109"/>
      <c r="AR993" s="109"/>
      <c r="AS993" s="109"/>
      <c r="AT993" s="109"/>
      <c r="AU993" s="109"/>
      <c r="AV993" s="109"/>
      <c r="AW993" s="109"/>
      <c r="AX993" s="109"/>
      <c r="AY993" s="109"/>
      <c r="AZ993" s="109"/>
    </row>
    <row r="994" spans="20:52" x14ac:dyDescent="0.45">
      <c r="T994" s="109"/>
      <c r="U994" s="109"/>
      <c r="V994" s="109"/>
      <c r="W994" s="109"/>
      <c r="X994" s="109"/>
      <c r="Y994" s="109"/>
      <c r="Z994" s="109"/>
      <c r="AA994" s="109"/>
      <c r="AB994" s="109"/>
      <c r="AC994" s="109"/>
      <c r="AD994" s="109"/>
      <c r="AE994" s="109"/>
      <c r="AF994" s="109"/>
      <c r="AG994" s="109"/>
      <c r="AH994" s="109"/>
      <c r="AI994" s="109"/>
      <c r="AJ994" s="109"/>
      <c r="AK994" s="109"/>
      <c r="AL994" s="109"/>
      <c r="AM994" s="109"/>
      <c r="AN994" s="109"/>
      <c r="AO994" s="109"/>
      <c r="AP994" s="109"/>
      <c r="AQ994" s="109"/>
      <c r="AR994" s="109"/>
      <c r="AS994" s="109"/>
      <c r="AT994" s="109"/>
      <c r="AU994" s="109"/>
      <c r="AV994" s="109"/>
      <c r="AW994" s="109"/>
      <c r="AX994" s="109"/>
      <c r="AY994" s="109"/>
      <c r="AZ994" s="109"/>
    </row>
    <row r="995" spans="20:52" x14ac:dyDescent="0.45">
      <c r="T995" s="109"/>
      <c r="U995" s="109"/>
      <c r="V995" s="109"/>
      <c r="W995" s="109"/>
      <c r="X995" s="109"/>
      <c r="Y995" s="109"/>
      <c r="Z995" s="109"/>
      <c r="AA995" s="109"/>
      <c r="AB995" s="109"/>
      <c r="AC995" s="109"/>
      <c r="AD995" s="109"/>
      <c r="AE995" s="109"/>
      <c r="AF995" s="109"/>
      <c r="AG995" s="109"/>
      <c r="AH995" s="109"/>
      <c r="AI995" s="109"/>
      <c r="AJ995" s="109"/>
      <c r="AK995" s="109"/>
      <c r="AL995" s="109"/>
      <c r="AM995" s="109"/>
      <c r="AN995" s="109"/>
      <c r="AO995" s="109"/>
      <c r="AP995" s="109"/>
      <c r="AQ995" s="109"/>
      <c r="AR995" s="109"/>
      <c r="AS995" s="109"/>
      <c r="AT995" s="109"/>
      <c r="AU995" s="109"/>
      <c r="AV995" s="109"/>
      <c r="AW995" s="109"/>
      <c r="AX995" s="109"/>
      <c r="AY995" s="109"/>
      <c r="AZ995" s="109"/>
    </row>
    <row r="996" spans="20:52" x14ac:dyDescent="0.45">
      <c r="T996" s="109"/>
      <c r="U996" s="109"/>
      <c r="V996" s="109"/>
      <c r="W996" s="109"/>
      <c r="X996" s="109"/>
      <c r="Y996" s="109"/>
      <c r="Z996" s="109"/>
      <c r="AA996" s="109"/>
      <c r="AB996" s="109"/>
      <c r="AC996" s="109"/>
      <c r="AD996" s="109"/>
      <c r="AE996" s="109"/>
      <c r="AF996" s="109"/>
      <c r="AG996" s="109"/>
      <c r="AH996" s="109"/>
      <c r="AI996" s="109"/>
      <c r="AJ996" s="109"/>
      <c r="AK996" s="109"/>
      <c r="AL996" s="109"/>
      <c r="AM996" s="109"/>
      <c r="AN996" s="109"/>
      <c r="AO996" s="109"/>
      <c r="AP996" s="109"/>
      <c r="AQ996" s="109"/>
      <c r="AR996" s="109"/>
      <c r="AS996" s="109"/>
      <c r="AT996" s="109"/>
      <c r="AU996" s="109"/>
      <c r="AV996" s="109"/>
      <c r="AW996" s="109"/>
      <c r="AX996" s="109"/>
      <c r="AY996" s="109"/>
      <c r="AZ996" s="109"/>
    </row>
    <row r="997" spans="20:52" x14ac:dyDescent="0.45">
      <c r="T997" s="109"/>
      <c r="U997" s="109"/>
      <c r="V997" s="109"/>
      <c r="W997" s="109"/>
      <c r="X997" s="109"/>
      <c r="Y997" s="109"/>
      <c r="Z997" s="109"/>
      <c r="AA997" s="109"/>
      <c r="AB997" s="109"/>
      <c r="AC997" s="109"/>
      <c r="AD997" s="109"/>
      <c r="AE997" s="109"/>
      <c r="AF997" s="109"/>
      <c r="AG997" s="109"/>
      <c r="AH997" s="109"/>
      <c r="AI997" s="109"/>
      <c r="AJ997" s="109"/>
      <c r="AK997" s="109"/>
      <c r="AL997" s="109"/>
      <c r="AM997" s="109"/>
      <c r="AN997" s="109"/>
      <c r="AO997" s="109"/>
      <c r="AP997" s="109"/>
      <c r="AQ997" s="109"/>
      <c r="AR997" s="109"/>
      <c r="AS997" s="109"/>
      <c r="AT997" s="109"/>
      <c r="AU997" s="109"/>
      <c r="AV997" s="109"/>
      <c r="AW997" s="109"/>
      <c r="AX997" s="109"/>
      <c r="AY997" s="109"/>
      <c r="AZ997" s="109"/>
    </row>
    <row r="998" spans="20:52" x14ac:dyDescent="0.45">
      <c r="T998" s="109"/>
      <c r="U998" s="109"/>
      <c r="V998" s="109"/>
      <c r="W998" s="109"/>
      <c r="X998" s="109"/>
      <c r="Y998" s="109"/>
      <c r="Z998" s="109"/>
      <c r="AA998" s="109"/>
      <c r="AB998" s="109"/>
      <c r="AC998" s="109"/>
      <c r="AD998" s="109"/>
      <c r="AE998" s="109"/>
      <c r="AF998" s="109"/>
      <c r="AG998" s="109"/>
      <c r="AH998" s="109"/>
      <c r="AI998" s="109"/>
      <c r="AJ998" s="109"/>
      <c r="AK998" s="109"/>
      <c r="AL998" s="109"/>
      <c r="AM998" s="109"/>
      <c r="AN998" s="109"/>
      <c r="AO998" s="109"/>
      <c r="AP998" s="109"/>
      <c r="AQ998" s="109"/>
      <c r="AR998" s="109"/>
      <c r="AS998" s="109"/>
      <c r="AT998" s="109"/>
      <c r="AU998" s="109"/>
      <c r="AV998" s="109"/>
      <c r="AW998" s="109"/>
      <c r="AX998" s="109"/>
      <c r="AY998" s="109"/>
      <c r="AZ998" s="109"/>
    </row>
    <row r="999" spans="20:52" x14ac:dyDescent="0.45">
      <c r="T999" s="109"/>
      <c r="U999" s="109"/>
      <c r="V999" s="109"/>
      <c r="W999" s="109"/>
      <c r="X999" s="109"/>
      <c r="Y999" s="109"/>
      <c r="Z999" s="109"/>
      <c r="AA999" s="109"/>
      <c r="AB999" s="109"/>
      <c r="AC999" s="109"/>
      <c r="AD999" s="109"/>
      <c r="AE999" s="109"/>
      <c r="AF999" s="109"/>
      <c r="AG999" s="109"/>
      <c r="AH999" s="109"/>
      <c r="AI999" s="109"/>
      <c r="AJ999" s="109"/>
      <c r="AK999" s="109"/>
      <c r="AL999" s="109"/>
      <c r="AM999" s="109"/>
      <c r="AN999" s="109"/>
      <c r="AO999" s="109"/>
      <c r="AP999" s="109"/>
      <c r="AQ999" s="109"/>
      <c r="AR999" s="109"/>
      <c r="AS999" s="109"/>
      <c r="AT999" s="109"/>
      <c r="AU999" s="109"/>
      <c r="AV999" s="109"/>
      <c r="AW999" s="109"/>
      <c r="AX999" s="109"/>
      <c r="AY999" s="109"/>
      <c r="AZ999" s="109"/>
    </row>
    <row r="1000" spans="20:52" x14ac:dyDescent="0.45">
      <c r="T1000" s="109"/>
      <c r="U1000" s="109"/>
      <c r="V1000" s="109"/>
      <c r="W1000" s="109"/>
      <c r="X1000" s="109"/>
      <c r="Y1000" s="109"/>
      <c r="Z1000" s="109"/>
      <c r="AA1000" s="109"/>
      <c r="AB1000" s="109"/>
      <c r="AC1000" s="109"/>
      <c r="AD1000" s="109"/>
      <c r="AE1000" s="109"/>
      <c r="AF1000" s="109"/>
      <c r="AG1000" s="109"/>
      <c r="AH1000" s="109"/>
      <c r="AI1000" s="109"/>
      <c r="AJ1000" s="109"/>
      <c r="AK1000" s="109"/>
      <c r="AL1000" s="109"/>
      <c r="AM1000" s="109"/>
      <c r="AN1000" s="109"/>
      <c r="AO1000" s="109"/>
      <c r="AP1000" s="109"/>
      <c r="AQ1000" s="109"/>
      <c r="AR1000" s="109"/>
      <c r="AS1000" s="109"/>
      <c r="AT1000" s="109"/>
      <c r="AU1000" s="109"/>
      <c r="AV1000" s="109"/>
      <c r="AW1000" s="109"/>
      <c r="AX1000" s="109"/>
      <c r="AY1000" s="109"/>
      <c r="AZ1000" s="109"/>
    </row>
    <row r="1001" spans="20:52" x14ac:dyDescent="0.45">
      <c r="T1001" s="109"/>
      <c r="U1001" s="109"/>
      <c r="V1001" s="109"/>
      <c r="W1001" s="109"/>
      <c r="X1001" s="109"/>
      <c r="Y1001" s="109"/>
      <c r="Z1001" s="109"/>
      <c r="AA1001" s="109"/>
      <c r="AB1001" s="109"/>
      <c r="AC1001" s="109"/>
      <c r="AD1001" s="109"/>
      <c r="AE1001" s="109"/>
      <c r="AF1001" s="109"/>
      <c r="AG1001" s="109"/>
      <c r="AH1001" s="109"/>
      <c r="AI1001" s="109"/>
      <c r="AJ1001" s="109"/>
      <c r="AK1001" s="109"/>
      <c r="AL1001" s="109"/>
      <c r="AM1001" s="109"/>
      <c r="AN1001" s="109"/>
      <c r="AO1001" s="109"/>
      <c r="AP1001" s="109"/>
      <c r="AQ1001" s="109"/>
      <c r="AR1001" s="109"/>
      <c r="AS1001" s="109"/>
      <c r="AT1001" s="109"/>
      <c r="AU1001" s="109"/>
      <c r="AV1001" s="109"/>
      <c r="AW1001" s="109"/>
      <c r="AX1001" s="109"/>
      <c r="AY1001" s="109"/>
      <c r="AZ1001" s="109"/>
    </row>
    <row r="1002" spans="20:52" x14ac:dyDescent="0.45">
      <c r="T1002" s="109"/>
      <c r="U1002" s="109"/>
      <c r="V1002" s="109"/>
      <c r="W1002" s="109"/>
      <c r="X1002" s="109"/>
      <c r="Y1002" s="109"/>
      <c r="Z1002" s="109"/>
      <c r="AA1002" s="109"/>
      <c r="AB1002" s="109"/>
      <c r="AC1002" s="109"/>
      <c r="AD1002" s="109"/>
      <c r="AE1002" s="109"/>
      <c r="AF1002" s="109"/>
      <c r="AG1002" s="109"/>
      <c r="AH1002" s="109"/>
      <c r="AI1002" s="109"/>
      <c r="AJ1002" s="109"/>
      <c r="AK1002" s="109"/>
      <c r="AL1002" s="109"/>
      <c r="AM1002" s="109"/>
      <c r="AN1002" s="109"/>
      <c r="AO1002" s="109"/>
      <c r="AP1002" s="109"/>
      <c r="AQ1002" s="109"/>
      <c r="AR1002" s="109"/>
      <c r="AS1002" s="109"/>
      <c r="AT1002" s="109"/>
      <c r="AU1002" s="109"/>
      <c r="AV1002" s="109"/>
      <c r="AW1002" s="109"/>
      <c r="AX1002" s="109"/>
      <c r="AY1002" s="109"/>
      <c r="AZ1002" s="109"/>
    </row>
    <row r="1003" spans="20:52" x14ac:dyDescent="0.45">
      <c r="T1003" s="109"/>
      <c r="U1003" s="109"/>
      <c r="V1003" s="109"/>
      <c r="W1003" s="109"/>
      <c r="X1003" s="109"/>
      <c r="Y1003" s="109"/>
      <c r="Z1003" s="109"/>
      <c r="AA1003" s="109"/>
      <c r="AB1003" s="109"/>
      <c r="AC1003" s="109"/>
      <c r="AD1003" s="109"/>
      <c r="AE1003" s="109"/>
      <c r="AF1003" s="109"/>
      <c r="AG1003" s="109"/>
      <c r="AH1003" s="109"/>
      <c r="AI1003" s="109"/>
      <c r="AJ1003" s="109"/>
      <c r="AK1003" s="109"/>
      <c r="AL1003" s="109"/>
      <c r="AM1003" s="109"/>
      <c r="AN1003" s="109"/>
      <c r="AO1003" s="109"/>
      <c r="AP1003" s="109"/>
      <c r="AQ1003" s="109"/>
      <c r="AR1003" s="109"/>
      <c r="AS1003" s="109"/>
      <c r="AT1003" s="109"/>
      <c r="AU1003" s="109"/>
      <c r="AV1003" s="109"/>
      <c r="AW1003" s="109"/>
      <c r="AX1003" s="109"/>
      <c r="AY1003" s="109"/>
      <c r="AZ1003" s="109"/>
    </row>
    <row r="1004" spans="20:52" x14ac:dyDescent="0.45">
      <c r="T1004" s="109"/>
      <c r="U1004" s="109"/>
      <c r="V1004" s="109"/>
      <c r="W1004" s="109"/>
      <c r="X1004" s="109"/>
      <c r="Y1004" s="109"/>
      <c r="Z1004" s="109"/>
      <c r="AA1004" s="109"/>
      <c r="AB1004" s="109"/>
      <c r="AC1004" s="109"/>
      <c r="AD1004" s="109"/>
      <c r="AE1004" s="109"/>
      <c r="AF1004" s="109"/>
      <c r="AG1004" s="109"/>
      <c r="AH1004" s="109"/>
      <c r="AI1004" s="109"/>
      <c r="AJ1004" s="109"/>
      <c r="AK1004" s="109"/>
      <c r="AL1004" s="109"/>
      <c r="AM1004" s="109"/>
      <c r="AN1004" s="109"/>
      <c r="AO1004" s="109"/>
      <c r="AP1004" s="109"/>
      <c r="AQ1004" s="109"/>
      <c r="AR1004" s="109"/>
      <c r="AS1004" s="109"/>
      <c r="AT1004" s="109"/>
      <c r="AU1004" s="109"/>
      <c r="AV1004" s="109"/>
      <c r="AW1004" s="109"/>
      <c r="AX1004" s="109"/>
      <c r="AY1004" s="109"/>
      <c r="AZ1004" s="109"/>
    </row>
    <row r="1005" spans="20:52" x14ac:dyDescent="0.45">
      <c r="T1005" s="109"/>
      <c r="U1005" s="109"/>
      <c r="V1005" s="109"/>
      <c r="W1005" s="109"/>
      <c r="X1005" s="109"/>
      <c r="Y1005" s="109"/>
      <c r="Z1005" s="109"/>
      <c r="AA1005" s="109"/>
      <c r="AB1005" s="109"/>
      <c r="AC1005" s="109"/>
      <c r="AD1005" s="109"/>
      <c r="AE1005" s="109"/>
      <c r="AF1005" s="109"/>
      <c r="AG1005" s="109"/>
      <c r="AH1005" s="109"/>
      <c r="AI1005" s="109"/>
      <c r="AJ1005" s="109"/>
      <c r="AK1005" s="109"/>
      <c r="AL1005" s="109"/>
      <c r="AM1005" s="109"/>
      <c r="AN1005" s="109"/>
      <c r="AO1005" s="109"/>
      <c r="AP1005" s="109"/>
      <c r="AQ1005" s="109"/>
      <c r="AR1005" s="109"/>
      <c r="AS1005" s="109"/>
      <c r="AT1005" s="109"/>
      <c r="AU1005" s="109"/>
      <c r="AV1005" s="109"/>
      <c r="AW1005" s="109"/>
      <c r="AX1005" s="109"/>
      <c r="AY1005" s="109"/>
      <c r="AZ1005" s="109"/>
    </row>
    <row r="1006" spans="20:52" x14ac:dyDescent="0.45">
      <c r="T1006" s="109"/>
      <c r="U1006" s="109"/>
      <c r="V1006" s="109"/>
      <c r="W1006" s="109"/>
      <c r="X1006" s="109"/>
      <c r="Y1006" s="109"/>
      <c r="Z1006" s="109"/>
      <c r="AA1006" s="109"/>
      <c r="AB1006" s="109"/>
      <c r="AC1006" s="109"/>
      <c r="AD1006" s="109"/>
      <c r="AE1006" s="109"/>
      <c r="AF1006" s="109"/>
      <c r="AG1006" s="109"/>
      <c r="AH1006" s="109"/>
      <c r="AI1006" s="109"/>
      <c r="AJ1006" s="109"/>
      <c r="AK1006" s="109"/>
      <c r="AL1006" s="109"/>
      <c r="AM1006" s="109"/>
      <c r="AN1006" s="109"/>
      <c r="AO1006" s="109"/>
      <c r="AP1006" s="109"/>
      <c r="AQ1006" s="109"/>
      <c r="AR1006" s="109"/>
      <c r="AS1006" s="109"/>
      <c r="AT1006" s="109"/>
      <c r="AU1006" s="109"/>
      <c r="AV1006" s="109"/>
      <c r="AW1006" s="109"/>
      <c r="AX1006" s="109"/>
      <c r="AY1006" s="109"/>
      <c r="AZ1006" s="109"/>
    </row>
    <row r="1007" spans="20:52" x14ac:dyDescent="0.45">
      <c r="T1007" s="109"/>
      <c r="U1007" s="109"/>
      <c r="V1007" s="109"/>
      <c r="W1007" s="109"/>
      <c r="X1007" s="109"/>
      <c r="Y1007" s="109"/>
      <c r="Z1007" s="109"/>
      <c r="AA1007" s="109"/>
      <c r="AB1007" s="109"/>
      <c r="AC1007" s="109"/>
      <c r="AD1007" s="109"/>
      <c r="AE1007" s="109"/>
      <c r="AF1007" s="109"/>
      <c r="AG1007" s="109"/>
      <c r="AH1007" s="109"/>
      <c r="AI1007" s="109"/>
      <c r="AJ1007" s="109"/>
      <c r="AK1007" s="109"/>
      <c r="AL1007" s="109"/>
      <c r="AM1007" s="109"/>
      <c r="AN1007" s="109"/>
      <c r="AO1007" s="109"/>
      <c r="AP1007" s="109"/>
      <c r="AQ1007" s="109"/>
      <c r="AR1007" s="109"/>
      <c r="AS1007" s="109"/>
      <c r="AT1007" s="109"/>
      <c r="AU1007" s="109"/>
      <c r="AV1007" s="109"/>
      <c r="AW1007" s="109"/>
      <c r="AX1007" s="109"/>
      <c r="AY1007" s="109"/>
      <c r="AZ1007" s="109"/>
    </row>
    <row r="1008" spans="20:52" x14ac:dyDescent="0.45">
      <c r="T1008" s="109"/>
      <c r="U1008" s="109"/>
      <c r="V1008" s="109"/>
      <c r="W1008" s="109"/>
      <c r="X1008" s="109"/>
      <c r="Y1008" s="109"/>
      <c r="Z1008" s="109"/>
      <c r="AA1008" s="109"/>
      <c r="AB1008" s="109"/>
      <c r="AC1008" s="109"/>
      <c r="AD1008" s="109"/>
      <c r="AE1008" s="109"/>
      <c r="AF1008" s="109"/>
      <c r="AG1008" s="109"/>
      <c r="AH1008" s="109"/>
      <c r="AI1008" s="109"/>
      <c r="AJ1008" s="109"/>
      <c r="AK1008" s="109"/>
      <c r="AL1008" s="109"/>
      <c r="AM1008" s="109"/>
      <c r="AN1008" s="109"/>
      <c r="AO1008" s="109"/>
      <c r="AP1008" s="109"/>
      <c r="AQ1008" s="109"/>
      <c r="AR1008" s="109"/>
      <c r="AS1008" s="109"/>
      <c r="AT1008" s="109"/>
      <c r="AU1008" s="109"/>
      <c r="AV1008" s="109"/>
      <c r="AW1008" s="109"/>
      <c r="AX1008" s="109"/>
      <c r="AY1008" s="109"/>
      <c r="AZ1008" s="109"/>
    </row>
    <row r="1009" spans="20:52" x14ac:dyDescent="0.45">
      <c r="T1009" s="109"/>
      <c r="U1009" s="109"/>
      <c r="V1009" s="109"/>
      <c r="W1009" s="109"/>
      <c r="X1009" s="109"/>
      <c r="Y1009" s="109"/>
      <c r="Z1009" s="109"/>
      <c r="AA1009" s="109"/>
      <c r="AB1009" s="109"/>
      <c r="AC1009" s="109"/>
      <c r="AD1009" s="109"/>
      <c r="AE1009" s="109"/>
      <c r="AF1009" s="109"/>
      <c r="AG1009" s="109"/>
      <c r="AH1009" s="109"/>
      <c r="AI1009" s="109"/>
      <c r="AJ1009" s="109"/>
      <c r="AK1009" s="109"/>
      <c r="AL1009" s="109"/>
      <c r="AM1009" s="109"/>
      <c r="AN1009" s="109"/>
      <c r="AO1009" s="109"/>
      <c r="AP1009" s="109"/>
      <c r="AQ1009" s="109"/>
      <c r="AR1009" s="109"/>
      <c r="AS1009" s="109"/>
      <c r="AT1009" s="109"/>
      <c r="AU1009" s="109"/>
      <c r="AV1009" s="109"/>
      <c r="AW1009" s="109"/>
      <c r="AX1009" s="109"/>
      <c r="AY1009" s="109"/>
      <c r="AZ1009" s="109"/>
    </row>
    <row r="1010" spans="20:52" x14ac:dyDescent="0.45">
      <c r="T1010" s="109"/>
      <c r="U1010" s="109"/>
      <c r="V1010" s="109"/>
      <c r="W1010" s="109"/>
      <c r="X1010" s="109"/>
      <c r="Y1010" s="109"/>
      <c r="Z1010" s="109"/>
      <c r="AA1010" s="109"/>
      <c r="AB1010" s="109"/>
      <c r="AC1010" s="109"/>
      <c r="AD1010" s="109"/>
      <c r="AE1010" s="109"/>
      <c r="AF1010" s="109"/>
      <c r="AG1010" s="109"/>
      <c r="AH1010" s="109"/>
      <c r="AI1010" s="109"/>
      <c r="AJ1010" s="109"/>
      <c r="AK1010" s="109"/>
      <c r="AL1010" s="109"/>
      <c r="AM1010" s="109"/>
      <c r="AN1010" s="109"/>
      <c r="AO1010" s="109"/>
      <c r="AP1010" s="109"/>
      <c r="AQ1010" s="109"/>
      <c r="AR1010" s="109"/>
      <c r="AS1010" s="109"/>
      <c r="AT1010" s="109"/>
      <c r="AU1010" s="109"/>
      <c r="AV1010" s="109"/>
      <c r="AW1010" s="109"/>
      <c r="AX1010" s="109"/>
      <c r="AY1010" s="109"/>
      <c r="AZ1010" s="109"/>
    </row>
    <row r="1011" spans="20:52" x14ac:dyDescent="0.45">
      <c r="T1011" s="109"/>
      <c r="U1011" s="109"/>
      <c r="V1011" s="109"/>
      <c r="W1011" s="109"/>
      <c r="X1011" s="109"/>
      <c r="Y1011" s="109"/>
      <c r="Z1011" s="109"/>
      <c r="AA1011" s="109"/>
      <c r="AB1011" s="109"/>
      <c r="AC1011" s="109"/>
      <c r="AD1011" s="109"/>
      <c r="AE1011" s="109"/>
      <c r="AF1011" s="109"/>
      <c r="AG1011" s="109"/>
      <c r="AH1011" s="109"/>
      <c r="AI1011" s="109"/>
      <c r="AJ1011" s="109"/>
      <c r="AK1011" s="109"/>
      <c r="AL1011" s="109"/>
      <c r="AM1011" s="109"/>
      <c r="AN1011" s="109"/>
      <c r="AO1011" s="109"/>
      <c r="AP1011" s="109"/>
      <c r="AQ1011" s="109"/>
      <c r="AR1011" s="109"/>
      <c r="AS1011" s="109"/>
      <c r="AT1011" s="109"/>
      <c r="AU1011" s="109"/>
      <c r="AV1011" s="109"/>
      <c r="AW1011" s="109"/>
      <c r="AX1011" s="109"/>
      <c r="AY1011" s="109"/>
      <c r="AZ1011" s="109"/>
    </row>
    <row r="1012" spans="20:52" x14ac:dyDescent="0.45">
      <c r="T1012" s="109"/>
      <c r="U1012" s="109"/>
      <c r="V1012" s="109"/>
      <c r="W1012" s="109"/>
      <c r="X1012" s="109"/>
      <c r="Y1012" s="109"/>
      <c r="Z1012" s="109"/>
      <c r="AA1012" s="109"/>
      <c r="AB1012" s="109"/>
      <c r="AC1012" s="109"/>
      <c r="AD1012" s="109"/>
      <c r="AE1012" s="109"/>
      <c r="AF1012" s="109"/>
      <c r="AG1012" s="109"/>
      <c r="AH1012" s="109"/>
      <c r="AI1012" s="109"/>
      <c r="AJ1012" s="109"/>
      <c r="AK1012" s="109"/>
      <c r="AL1012" s="109"/>
      <c r="AM1012" s="109"/>
      <c r="AN1012" s="109"/>
      <c r="AO1012" s="109"/>
      <c r="AP1012" s="109"/>
      <c r="AQ1012" s="109"/>
      <c r="AR1012" s="109"/>
      <c r="AS1012" s="109"/>
      <c r="AT1012" s="109"/>
      <c r="AU1012" s="109"/>
      <c r="AV1012" s="109"/>
      <c r="AW1012" s="109"/>
      <c r="AX1012" s="109"/>
      <c r="AY1012" s="109"/>
      <c r="AZ1012" s="109"/>
    </row>
    <row r="1013" spans="20:52" x14ac:dyDescent="0.45">
      <c r="T1013" s="109"/>
      <c r="U1013" s="109"/>
      <c r="V1013" s="109"/>
      <c r="W1013" s="109"/>
      <c r="X1013" s="109"/>
      <c r="Y1013" s="109"/>
      <c r="Z1013" s="109"/>
      <c r="AA1013" s="109"/>
      <c r="AB1013" s="109"/>
      <c r="AC1013" s="109"/>
      <c r="AD1013" s="109"/>
      <c r="AE1013" s="109"/>
      <c r="AF1013" s="109"/>
      <c r="AG1013" s="109"/>
      <c r="AH1013" s="109"/>
      <c r="AI1013" s="109"/>
      <c r="AJ1013" s="109"/>
      <c r="AK1013" s="109"/>
      <c r="AL1013" s="109"/>
      <c r="AM1013" s="109"/>
      <c r="AN1013" s="109"/>
      <c r="AO1013" s="109"/>
      <c r="AP1013" s="109"/>
      <c r="AQ1013" s="109"/>
      <c r="AR1013" s="109"/>
      <c r="AS1013" s="109"/>
      <c r="AT1013" s="109"/>
      <c r="AU1013" s="109"/>
      <c r="AV1013" s="109"/>
      <c r="AW1013" s="109"/>
      <c r="AX1013" s="109"/>
      <c r="AY1013" s="109"/>
      <c r="AZ1013" s="109"/>
    </row>
    <row r="1014" spans="20:52" x14ac:dyDescent="0.45">
      <c r="T1014" s="109"/>
      <c r="U1014" s="109"/>
      <c r="V1014" s="109"/>
      <c r="W1014" s="109"/>
      <c r="X1014" s="109"/>
      <c r="Y1014" s="109"/>
      <c r="Z1014" s="109"/>
      <c r="AA1014" s="109"/>
      <c r="AB1014" s="109"/>
      <c r="AC1014" s="109"/>
      <c r="AD1014" s="109"/>
      <c r="AE1014" s="109"/>
      <c r="AF1014" s="109"/>
      <c r="AG1014" s="109"/>
      <c r="AH1014" s="109"/>
      <c r="AI1014" s="109"/>
      <c r="AJ1014" s="109"/>
      <c r="AK1014" s="109"/>
      <c r="AL1014" s="109"/>
      <c r="AM1014" s="109"/>
      <c r="AN1014" s="109"/>
      <c r="AO1014" s="109"/>
      <c r="AP1014" s="109"/>
      <c r="AQ1014" s="109"/>
      <c r="AR1014" s="109"/>
      <c r="AS1014" s="109"/>
      <c r="AT1014" s="109"/>
      <c r="AU1014" s="109"/>
      <c r="AV1014" s="109"/>
      <c r="AW1014" s="109"/>
      <c r="AX1014" s="109"/>
      <c r="AY1014" s="109"/>
      <c r="AZ1014" s="109"/>
    </row>
    <row r="1015" spans="20:52" x14ac:dyDescent="0.45">
      <c r="T1015" s="109"/>
      <c r="U1015" s="109"/>
      <c r="V1015" s="109"/>
      <c r="W1015" s="109"/>
      <c r="X1015" s="109"/>
      <c r="Y1015" s="109"/>
      <c r="Z1015" s="109"/>
      <c r="AA1015" s="109"/>
      <c r="AB1015" s="109"/>
      <c r="AC1015" s="109"/>
      <c r="AD1015" s="109"/>
      <c r="AE1015" s="109"/>
      <c r="AF1015" s="109"/>
      <c r="AG1015" s="109"/>
      <c r="AH1015" s="109"/>
      <c r="AI1015" s="109"/>
      <c r="AJ1015" s="109"/>
      <c r="AK1015" s="109"/>
      <c r="AL1015" s="109"/>
      <c r="AM1015" s="109"/>
      <c r="AN1015" s="109"/>
      <c r="AO1015" s="109"/>
      <c r="AP1015" s="109"/>
      <c r="AQ1015" s="109"/>
      <c r="AR1015" s="109"/>
      <c r="AS1015" s="109"/>
      <c r="AT1015" s="109"/>
      <c r="AU1015" s="109"/>
      <c r="AV1015" s="109"/>
      <c r="AW1015" s="109"/>
      <c r="AX1015" s="109"/>
      <c r="AY1015" s="109"/>
      <c r="AZ1015" s="109"/>
    </row>
    <row r="1016" spans="20:52" x14ac:dyDescent="0.45">
      <c r="T1016" s="109"/>
      <c r="U1016" s="109"/>
      <c r="V1016" s="109"/>
      <c r="W1016" s="109"/>
      <c r="X1016" s="109"/>
      <c r="Y1016" s="109"/>
      <c r="Z1016" s="109"/>
      <c r="AA1016" s="109"/>
      <c r="AB1016" s="109"/>
      <c r="AC1016" s="109"/>
      <c r="AD1016" s="109"/>
      <c r="AE1016" s="109"/>
      <c r="AF1016" s="109"/>
      <c r="AG1016" s="109"/>
      <c r="AH1016" s="109"/>
      <c r="AI1016" s="109"/>
      <c r="AJ1016" s="109"/>
      <c r="AK1016" s="109"/>
      <c r="AL1016" s="109"/>
      <c r="AM1016" s="109"/>
      <c r="AN1016" s="109"/>
      <c r="AO1016" s="109"/>
      <c r="AP1016" s="109"/>
      <c r="AQ1016" s="109"/>
      <c r="AR1016" s="109"/>
      <c r="AS1016" s="109"/>
      <c r="AT1016" s="109"/>
      <c r="AU1016" s="109"/>
      <c r="AV1016" s="109"/>
      <c r="AW1016" s="109"/>
      <c r="AX1016" s="109"/>
      <c r="AY1016" s="109"/>
      <c r="AZ1016" s="109"/>
    </row>
    <row r="1017" spans="20:52" x14ac:dyDescent="0.45">
      <c r="T1017" s="109"/>
      <c r="U1017" s="109"/>
      <c r="V1017" s="109"/>
      <c r="W1017" s="109"/>
      <c r="X1017" s="109"/>
      <c r="Y1017" s="109"/>
      <c r="Z1017" s="109"/>
      <c r="AA1017" s="109"/>
      <c r="AB1017" s="109"/>
      <c r="AC1017" s="109"/>
      <c r="AD1017" s="109"/>
      <c r="AE1017" s="109"/>
      <c r="AF1017" s="109"/>
      <c r="AG1017" s="109"/>
      <c r="AH1017" s="109"/>
      <c r="AI1017" s="109"/>
      <c r="AJ1017" s="109"/>
      <c r="AK1017" s="109"/>
      <c r="AL1017" s="109"/>
      <c r="AM1017" s="109"/>
      <c r="AN1017" s="109"/>
      <c r="AO1017" s="109"/>
      <c r="AP1017" s="109"/>
      <c r="AQ1017" s="109"/>
      <c r="AR1017" s="109"/>
      <c r="AS1017" s="109"/>
      <c r="AT1017" s="109"/>
      <c r="AU1017" s="109"/>
      <c r="AV1017" s="109"/>
      <c r="AW1017" s="109"/>
      <c r="AX1017" s="109"/>
      <c r="AY1017" s="109"/>
      <c r="AZ1017" s="109"/>
    </row>
    <row r="1018" spans="20:52" x14ac:dyDescent="0.45">
      <c r="T1018" s="109"/>
      <c r="U1018" s="109"/>
      <c r="V1018" s="109"/>
      <c r="W1018" s="109"/>
      <c r="X1018" s="109"/>
      <c r="Y1018" s="109"/>
      <c r="Z1018" s="109"/>
      <c r="AA1018" s="109"/>
      <c r="AB1018" s="109"/>
      <c r="AC1018" s="109"/>
      <c r="AD1018" s="109"/>
      <c r="AE1018" s="109"/>
      <c r="AF1018" s="109"/>
      <c r="AG1018" s="109"/>
      <c r="AH1018" s="109"/>
      <c r="AI1018" s="109"/>
      <c r="AJ1018" s="109"/>
      <c r="AK1018" s="109"/>
      <c r="AL1018" s="109"/>
      <c r="AM1018" s="109"/>
      <c r="AN1018" s="109"/>
      <c r="AO1018" s="109"/>
      <c r="AP1018" s="109"/>
      <c r="AQ1018" s="109"/>
      <c r="AR1018" s="109"/>
      <c r="AS1018" s="109"/>
      <c r="AT1018" s="109"/>
      <c r="AU1018" s="109"/>
      <c r="AV1018" s="109"/>
      <c r="AW1018" s="109"/>
      <c r="AX1018" s="109"/>
      <c r="AY1018" s="109"/>
      <c r="AZ1018" s="109"/>
    </row>
    <row r="1019" spans="20:52" x14ac:dyDescent="0.45">
      <c r="T1019" s="109"/>
      <c r="U1019" s="109"/>
      <c r="V1019" s="109"/>
      <c r="W1019" s="109"/>
      <c r="X1019" s="109"/>
      <c r="Y1019" s="109"/>
      <c r="Z1019" s="109"/>
      <c r="AA1019" s="109"/>
      <c r="AB1019" s="109"/>
      <c r="AC1019" s="109"/>
      <c r="AD1019" s="109"/>
      <c r="AE1019" s="109"/>
      <c r="AF1019" s="109"/>
      <c r="AG1019" s="109"/>
      <c r="AH1019" s="109"/>
      <c r="AI1019" s="109"/>
      <c r="AJ1019" s="109"/>
      <c r="AK1019" s="109"/>
      <c r="AL1019" s="109"/>
      <c r="AM1019" s="109"/>
      <c r="AN1019" s="109"/>
      <c r="AO1019" s="109"/>
      <c r="AP1019" s="109"/>
      <c r="AQ1019" s="109"/>
      <c r="AR1019" s="109"/>
      <c r="AS1019" s="109"/>
      <c r="AT1019" s="109"/>
      <c r="AU1019" s="109"/>
      <c r="AV1019" s="109"/>
      <c r="AW1019" s="109"/>
      <c r="AX1019" s="109"/>
      <c r="AY1019" s="109"/>
      <c r="AZ1019" s="109"/>
    </row>
    <row r="1020" spans="20:52" x14ac:dyDescent="0.45">
      <c r="T1020" s="109"/>
      <c r="U1020" s="109"/>
      <c r="V1020" s="109"/>
      <c r="W1020" s="109"/>
      <c r="X1020" s="109"/>
      <c r="Y1020" s="109"/>
      <c r="Z1020" s="109"/>
      <c r="AA1020" s="109"/>
      <c r="AB1020" s="109"/>
      <c r="AC1020" s="109"/>
      <c r="AD1020" s="109"/>
      <c r="AE1020" s="109"/>
      <c r="AF1020" s="109"/>
      <c r="AG1020" s="109"/>
      <c r="AH1020" s="109"/>
      <c r="AI1020" s="109"/>
      <c r="AJ1020" s="109"/>
      <c r="AK1020" s="109"/>
      <c r="AL1020" s="109"/>
      <c r="AM1020" s="109"/>
      <c r="AN1020" s="109"/>
      <c r="AO1020" s="109"/>
      <c r="AP1020" s="109"/>
      <c r="AQ1020" s="109"/>
      <c r="AR1020" s="109"/>
      <c r="AS1020" s="109"/>
      <c r="AT1020" s="109"/>
      <c r="AU1020" s="109"/>
      <c r="AV1020" s="109"/>
      <c r="AW1020" s="109"/>
      <c r="AX1020" s="109"/>
      <c r="AY1020" s="109"/>
      <c r="AZ1020" s="109"/>
    </row>
    <row r="1021" spans="20:52" x14ac:dyDescent="0.45">
      <c r="T1021" s="109"/>
      <c r="U1021" s="109"/>
      <c r="V1021" s="109"/>
      <c r="W1021" s="109"/>
      <c r="X1021" s="109"/>
      <c r="Y1021" s="109"/>
      <c r="Z1021" s="109"/>
      <c r="AA1021" s="109"/>
      <c r="AB1021" s="109"/>
      <c r="AC1021" s="109"/>
      <c r="AD1021" s="109"/>
      <c r="AE1021" s="109"/>
      <c r="AF1021" s="109"/>
      <c r="AG1021" s="109"/>
      <c r="AH1021" s="109"/>
      <c r="AI1021" s="109"/>
      <c r="AJ1021" s="109"/>
      <c r="AK1021" s="109"/>
      <c r="AL1021" s="109"/>
      <c r="AM1021" s="109"/>
      <c r="AN1021" s="109"/>
      <c r="AO1021" s="109"/>
      <c r="AP1021" s="109"/>
      <c r="AQ1021" s="109"/>
      <c r="AR1021" s="109"/>
      <c r="AS1021" s="109"/>
      <c r="AT1021" s="109"/>
      <c r="AU1021" s="109"/>
      <c r="AV1021" s="109"/>
      <c r="AW1021" s="109"/>
      <c r="AX1021" s="109"/>
      <c r="AY1021" s="109"/>
      <c r="AZ1021" s="109"/>
    </row>
    <row r="1022" spans="20:52" x14ac:dyDescent="0.45">
      <c r="T1022" s="109"/>
      <c r="U1022" s="109"/>
      <c r="V1022" s="109"/>
      <c r="W1022" s="109"/>
      <c r="X1022" s="109"/>
      <c r="Y1022" s="109"/>
      <c r="Z1022" s="109"/>
      <c r="AA1022" s="109"/>
      <c r="AB1022" s="109"/>
      <c r="AC1022" s="109"/>
      <c r="AD1022" s="109"/>
      <c r="AE1022" s="109"/>
      <c r="AF1022" s="109"/>
      <c r="AG1022" s="109"/>
      <c r="AH1022" s="109"/>
      <c r="AI1022" s="109"/>
      <c r="AJ1022" s="109"/>
      <c r="AK1022" s="109"/>
      <c r="AL1022" s="109"/>
      <c r="AM1022" s="109"/>
      <c r="AN1022" s="109"/>
      <c r="AO1022" s="109"/>
      <c r="AP1022" s="109"/>
      <c r="AQ1022" s="109"/>
      <c r="AR1022" s="109"/>
      <c r="AS1022" s="109"/>
      <c r="AT1022" s="109"/>
      <c r="AU1022" s="109"/>
      <c r="AV1022" s="109"/>
      <c r="AW1022" s="109"/>
      <c r="AX1022" s="109"/>
      <c r="AY1022" s="109"/>
      <c r="AZ1022" s="109"/>
    </row>
    <row r="1023" spans="20:52" x14ac:dyDescent="0.45">
      <c r="T1023" s="109"/>
      <c r="U1023" s="109"/>
      <c r="V1023" s="109"/>
      <c r="W1023" s="109"/>
      <c r="X1023" s="109"/>
      <c r="Y1023" s="109"/>
      <c r="Z1023" s="109"/>
      <c r="AA1023" s="109"/>
      <c r="AB1023" s="109"/>
      <c r="AC1023" s="109"/>
      <c r="AD1023" s="109"/>
      <c r="AE1023" s="109"/>
      <c r="AF1023" s="109"/>
      <c r="AG1023" s="109"/>
      <c r="AH1023" s="109"/>
      <c r="AI1023" s="109"/>
      <c r="AJ1023" s="109"/>
      <c r="AK1023" s="109"/>
      <c r="AL1023" s="109"/>
      <c r="AM1023" s="109"/>
      <c r="AN1023" s="109"/>
      <c r="AO1023" s="109"/>
      <c r="AP1023" s="109"/>
      <c r="AQ1023" s="109"/>
      <c r="AR1023" s="109"/>
      <c r="AS1023" s="109"/>
      <c r="AT1023" s="109"/>
      <c r="AU1023" s="109"/>
      <c r="AV1023" s="109"/>
      <c r="AW1023" s="109"/>
      <c r="AX1023" s="109"/>
      <c r="AY1023" s="109"/>
      <c r="AZ1023" s="109"/>
    </row>
    <row r="1024" spans="20:52" x14ac:dyDescent="0.45">
      <c r="T1024" s="109"/>
      <c r="U1024" s="109"/>
      <c r="V1024" s="109"/>
      <c r="W1024" s="109"/>
      <c r="X1024" s="109"/>
      <c r="Y1024" s="109"/>
      <c r="Z1024" s="109"/>
      <c r="AA1024" s="109"/>
      <c r="AB1024" s="109"/>
      <c r="AC1024" s="109"/>
      <c r="AD1024" s="109"/>
      <c r="AE1024" s="109"/>
      <c r="AF1024" s="109"/>
      <c r="AG1024" s="109"/>
      <c r="AH1024" s="109"/>
      <c r="AI1024" s="109"/>
      <c r="AJ1024" s="109"/>
      <c r="AK1024" s="109"/>
      <c r="AL1024" s="109"/>
      <c r="AM1024" s="109"/>
      <c r="AN1024" s="109"/>
      <c r="AO1024" s="109"/>
      <c r="AP1024" s="109"/>
      <c r="AQ1024" s="109"/>
      <c r="AR1024" s="109"/>
      <c r="AS1024" s="109"/>
      <c r="AT1024" s="109"/>
      <c r="AU1024" s="109"/>
      <c r="AV1024" s="109"/>
      <c r="AW1024" s="109"/>
      <c r="AX1024" s="109"/>
      <c r="AY1024" s="109"/>
      <c r="AZ1024" s="109"/>
    </row>
    <row r="1025" spans="20:52" x14ac:dyDescent="0.45">
      <c r="T1025" s="109"/>
      <c r="U1025" s="109"/>
      <c r="V1025" s="109"/>
      <c r="W1025" s="109"/>
      <c r="X1025" s="109"/>
      <c r="Y1025" s="109"/>
      <c r="Z1025" s="109"/>
      <c r="AA1025" s="109"/>
      <c r="AB1025" s="109"/>
      <c r="AC1025" s="109"/>
      <c r="AD1025" s="109"/>
      <c r="AE1025" s="109"/>
      <c r="AF1025" s="109"/>
      <c r="AG1025" s="109"/>
      <c r="AH1025" s="109"/>
      <c r="AI1025" s="109"/>
      <c r="AJ1025" s="109"/>
      <c r="AK1025" s="109"/>
      <c r="AL1025" s="109"/>
      <c r="AM1025" s="109"/>
      <c r="AN1025" s="109"/>
      <c r="AO1025" s="109"/>
      <c r="AP1025" s="109"/>
      <c r="AQ1025" s="109"/>
      <c r="AR1025" s="109"/>
      <c r="AS1025" s="109"/>
      <c r="AT1025" s="109"/>
      <c r="AU1025" s="109"/>
      <c r="AV1025" s="109"/>
      <c r="AW1025" s="109"/>
      <c r="AX1025" s="109"/>
      <c r="AY1025" s="109"/>
      <c r="AZ1025" s="109"/>
    </row>
    <row r="1026" spans="20:52" x14ac:dyDescent="0.45">
      <c r="T1026" s="109"/>
      <c r="U1026" s="109"/>
      <c r="V1026" s="109"/>
      <c r="W1026" s="109"/>
      <c r="X1026" s="109"/>
      <c r="Y1026" s="109"/>
      <c r="Z1026" s="109"/>
      <c r="AA1026" s="109"/>
      <c r="AB1026" s="109"/>
      <c r="AC1026" s="109"/>
      <c r="AD1026" s="109"/>
      <c r="AE1026" s="109"/>
      <c r="AF1026" s="109"/>
      <c r="AG1026" s="109"/>
      <c r="AH1026" s="109"/>
      <c r="AI1026" s="109"/>
      <c r="AJ1026" s="109"/>
      <c r="AK1026" s="109"/>
      <c r="AL1026" s="109"/>
      <c r="AM1026" s="109"/>
      <c r="AN1026" s="109"/>
      <c r="AO1026" s="109"/>
      <c r="AP1026" s="109"/>
      <c r="AQ1026" s="109"/>
      <c r="AR1026" s="109"/>
      <c r="AS1026" s="109"/>
      <c r="AT1026" s="109"/>
      <c r="AU1026" s="109"/>
      <c r="AV1026" s="109"/>
      <c r="AW1026" s="109"/>
      <c r="AX1026" s="109"/>
      <c r="AY1026" s="109"/>
      <c r="AZ1026" s="109"/>
    </row>
    <row r="1027" spans="20:52" x14ac:dyDescent="0.45">
      <c r="T1027" s="109"/>
      <c r="U1027" s="109"/>
      <c r="V1027" s="109"/>
      <c r="W1027" s="109"/>
      <c r="X1027" s="109"/>
      <c r="Y1027" s="109"/>
      <c r="Z1027" s="109"/>
      <c r="AA1027" s="109"/>
      <c r="AB1027" s="109"/>
      <c r="AC1027" s="109"/>
      <c r="AD1027" s="109"/>
      <c r="AE1027" s="109"/>
      <c r="AF1027" s="109"/>
      <c r="AG1027" s="109"/>
      <c r="AH1027" s="109"/>
      <c r="AI1027" s="109"/>
      <c r="AJ1027" s="109"/>
      <c r="AK1027" s="109"/>
      <c r="AL1027" s="109"/>
      <c r="AM1027" s="109"/>
      <c r="AN1027" s="109"/>
      <c r="AO1027" s="109"/>
      <c r="AP1027" s="109"/>
      <c r="AQ1027" s="109"/>
      <c r="AR1027" s="109"/>
      <c r="AS1027" s="109"/>
      <c r="AT1027" s="109"/>
      <c r="AU1027" s="109"/>
      <c r="AV1027" s="109"/>
      <c r="AW1027" s="109"/>
      <c r="AX1027" s="109"/>
      <c r="AY1027" s="109"/>
      <c r="AZ1027" s="109"/>
    </row>
    <row r="1028" spans="20:52" x14ac:dyDescent="0.45">
      <c r="T1028" s="109"/>
      <c r="U1028" s="109"/>
      <c r="V1028" s="109"/>
      <c r="W1028" s="109"/>
      <c r="X1028" s="109"/>
      <c r="Y1028" s="109"/>
      <c r="Z1028" s="109"/>
      <c r="AA1028" s="109"/>
      <c r="AB1028" s="109"/>
      <c r="AC1028" s="109"/>
      <c r="AD1028" s="109"/>
      <c r="AE1028" s="109"/>
      <c r="AF1028" s="109"/>
      <c r="AG1028" s="109"/>
      <c r="AH1028" s="109"/>
      <c r="AI1028" s="109"/>
      <c r="AJ1028" s="109"/>
      <c r="AK1028" s="109"/>
      <c r="AL1028" s="109"/>
      <c r="AM1028" s="109"/>
      <c r="AN1028" s="109"/>
      <c r="AO1028" s="109"/>
      <c r="AP1028" s="109"/>
      <c r="AQ1028" s="109"/>
      <c r="AR1028" s="109"/>
      <c r="AS1028" s="109"/>
      <c r="AT1028" s="109"/>
      <c r="AU1028" s="109"/>
      <c r="AV1028" s="109"/>
      <c r="AW1028" s="109"/>
      <c r="AX1028" s="109"/>
      <c r="AY1028" s="109"/>
      <c r="AZ1028" s="109"/>
    </row>
    <row r="1029" spans="20:52" x14ac:dyDescent="0.45">
      <c r="T1029" s="109"/>
      <c r="U1029" s="109"/>
      <c r="V1029" s="109"/>
      <c r="W1029" s="109"/>
      <c r="X1029" s="109"/>
      <c r="Y1029" s="109"/>
      <c r="Z1029" s="109"/>
      <c r="AA1029" s="109"/>
      <c r="AB1029" s="109"/>
      <c r="AC1029" s="109"/>
      <c r="AD1029" s="109"/>
      <c r="AE1029" s="109"/>
      <c r="AF1029" s="109"/>
      <c r="AG1029" s="109"/>
      <c r="AH1029" s="109"/>
      <c r="AI1029" s="109"/>
      <c r="AJ1029" s="109"/>
      <c r="AK1029" s="109"/>
      <c r="AL1029" s="109"/>
      <c r="AM1029" s="109"/>
      <c r="AN1029" s="109"/>
      <c r="AO1029" s="109"/>
      <c r="AP1029" s="109"/>
      <c r="AQ1029" s="109"/>
      <c r="AR1029" s="109"/>
      <c r="AS1029" s="109"/>
      <c r="AT1029" s="109"/>
      <c r="AU1029" s="109"/>
      <c r="AV1029" s="109"/>
      <c r="AW1029" s="109"/>
      <c r="AX1029" s="109"/>
      <c r="AY1029" s="109"/>
      <c r="AZ1029" s="109"/>
    </row>
    <row r="1030" spans="20:52" x14ac:dyDescent="0.45">
      <c r="T1030" s="109"/>
      <c r="U1030" s="109"/>
      <c r="V1030" s="109"/>
      <c r="W1030" s="109"/>
      <c r="X1030" s="109"/>
      <c r="Y1030" s="109"/>
      <c r="Z1030" s="109"/>
      <c r="AA1030" s="109"/>
      <c r="AB1030" s="109"/>
      <c r="AC1030" s="109"/>
      <c r="AD1030" s="109"/>
      <c r="AE1030" s="109"/>
      <c r="AF1030" s="109"/>
      <c r="AG1030" s="109"/>
      <c r="AH1030" s="109"/>
      <c r="AI1030" s="109"/>
      <c r="AJ1030" s="109"/>
      <c r="AK1030" s="109"/>
      <c r="AL1030" s="109"/>
      <c r="AM1030" s="109"/>
      <c r="AN1030" s="109"/>
      <c r="AO1030" s="109"/>
      <c r="AP1030" s="109"/>
      <c r="AQ1030" s="109"/>
      <c r="AR1030" s="109"/>
      <c r="AS1030" s="109"/>
      <c r="AT1030" s="109"/>
      <c r="AU1030" s="109"/>
      <c r="AV1030" s="109"/>
      <c r="AW1030" s="109"/>
      <c r="AX1030" s="109"/>
      <c r="AY1030" s="109"/>
      <c r="AZ1030" s="109"/>
    </row>
    <row r="1031" spans="20:52" x14ac:dyDescent="0.45">
      <c r="T1031" s="109"/>
      <c r="U1031" s="109"/>
      <c r="V1031" s="109"/>
      <c r="W1031" s="109"/>
      <c r="X1031" s="109"/>
      <c r="Y1031" s="109"/>
      <c r="Z1031" s="109"/>
      <c r="AA1031" s="109"/>
      <c r="AB1031" s="109"/>
      <c r="AC1031" s="109"/>
      <c r="AD1031" s="109"/>
      <c r="AE1031" s="109"/>
      <c r="AF1031" s="109"/>
      <c r="AG1031" s="109"/>
      <c r="AH1031" s="109"/>
      <c r="AI1031" s="109"/>
      <c r="AJ1031" s="109"/>
      <c r="AK1031" s="109"/>
      <c r="AL1031" s="109"/>
      <c r="AM1031" s="109"/>
      <c r="AN1031" s="109"/>
      <c r="AO1031" s="109"/>
      <c r="AP1031" s="109"/>
      <c r="AQ1031" s="109"/>
      <c r="AR1031" s="109"/>
      <c r="AS1031" s="109"/>
      <c r="AT1031" s="109"/>
      <c r="AU1031" s="109"/>
      <c r="AV1031" s="109"/>
      <c r="AW1031" s="109"/>
      <c r="AX1031" s="109"/>
      <c r="AY1031" s="109"/>
      <c r="AZ1031" s="109"/>
    </row>
    <row r="1032" spans="20:52" x14ac:dyDescent="0.45">
      <c r="T1032" s="109"/>
      <c r="U1032" s="109"/>
      <c r="V1032" s="109"/>
      <c r="W1032" s="109"/>
      <c r="X1032" s="109"/>
      <c r="Y1032" s="109"/>
      <c r="Z1032" s="109"/>
      <c r="AA1032" s="109"/>
      <c r="AB1032" s="109"/>
      <c r="AC1032" s="109"/>
      <c r="AD1032" s="109"/>
      <c r="AE1032" s="109"/>
      <c r="AF1032" s="109"/>
      <c r="AG1032" s="109"/>
      <c r="AH1032" s="109"/>
      <c r="AI1032" s="109"/>
      <c r="AJ1032" s="109"/>
      <c r="AK1032" s="109"/>
      <c r="AL1032" s="109"/>
      <c r="AM1032" s="109"/>
      <c r="AN1032" s="109"/>
      <c r="AO1032" s="109"/>
      <c r="AP1032" s="109"/>
      <c r="AQ1032" s="109"/>
      <c r="AR1032" s="109"/>
      <c r="AS1032" s="109"/>
      <c r="AT1032" s="109"/>
      <c r="AU1032" s="109"/>
      <c r="AV1032" s="109"/>
      <c r="AW1032" s="109"/>
      <c r="AX1032" s="109"/>
      <c r="AY1032" s="109"/>
      <c r="AZ1032" s="109"/>
    </row>
    <row r="1033" spans="20:52" x14ac:dyDescent="0.45">
      <c r="T1033" s="109"/>
      <c r="U1033" s="109"/>
      <c r="V1033" s="109"/>
      <c r="W1033" s="109"/>
      <c r="X1033" s="109"/>
      <c r="Y1033" s="109"/>
      <c r="Z1033" s="109"/>
      <c r="AA1033" s="109"/>
      <c r="AB1033" s="109"/>
      <c r="AC1033" s="109"/>
      <c r="AD1033" s="109"/>
      <c r="AE1033" s="109"/>
      <c r="AF1033" s="109"/>
      <c r="AG1033" s="109"/>
      <c r="AH1033" s="109"/>
      <c r="AI1033" s="109"/>
      <c r="AJ1033" s="109"/>
      <c r="AK1033" s="109"/>
      <c r="AL1033" s="109"/>
      <c r="AM1033" s="109"/>
      <c r="AN1033" s="109"/>
      <c r="AO1033" s="109"/>
      <c r="AP1033" s="109"/>
      <c r="AQ1033" s="109"/>
      <c r="AR1033" s="109"/>
      <c r="AS1033" s="109"/>
      <c r="AT1033" s="109"/>
      <c r="AU1033" s="109"/>
      <c r="AV1033" s="109"/>
      <c r="AW1033" s="109"/>
      <c r="AX1033" s="109"/>
      <c r="AY1033" s="109"/>
      <c r="AZ1033" s="109"/>
    </row>
    <row r="1034" spans="20:52" x14ac:dyDescent="0.45">
      <c r="T1034" s="109"/>
      <c r="U1034" s="109"/>
      <c r="V1034" s="109"/>
      <c r="W1034" s="109"/>
      <c r="X1034" s="109"/>
      <c r="Y1034" s="109"/>
      <c r="Z1034" s="109"/>
      <c r="AA1034" s="109"/>
      <c r="AB1034" s="109"/>
      <c r="AC1034" s="109"/>
      <c r="AD1034" s="109"/>
      <c r="AE1034" s="109"/>
      <c r="AF1034" s="109"/>
      <c r="AG1034" s="109"/>
      <c r="AH1034" s="109"/>
      <c r="AI1034" s="109"/>
      <c r="AJ1034" s="109"/>
      <c r="AK1034" s="109"/>
      <c r="AL1034" s="109"/>
      <c r="AM1034" s="109"/>
      <c r="AN1034" s="109"/>
      <c r="AO1034" s="109"/>
      <c r="AP1034" s="109"/>
      <c r="AQ1034" s="109"/>
      <c r="AR1034" s="109"/>
      <c r="AS1034" s="109"/>
      <c r="AT1034" s="109"/>
      <c r="AU1034" s="109"/>
      <c r="AV1034" s="109"/>
      <c r="AW1034" s="109"/>
      <c r="AX1034" s="109"/>
      <c r="AY1034" s="109"/>
      <c r="AZ1034" s="109"/>
    </row>
    <row r="1035" spans="20:52" x14ac:dyDescent="0.45">
      <c r="T1035" s="109"/>
      <c r="U1035" s="109"/>
      <c r="V1035" s="109"/>
      <c r="W1035" s="109"/>
      <c r="X1035" s="109"/>
      <c r="Y1035" s="109"/>
      <c r="Z1035" s="109"/>
      <c r="AA1035" s="109"/>
      <c r="AB1035" s="109"/>
      <c r="AC1035" s="109"/>
      <c r="AD1035" s="109"/>
      <c r="AE1035" s="109"/>
      <c r="AF1035" s="109"/>
      <c r="AG1035" s="109"/>
      <c r="AH1035" s="109"/>
      <c r="AI1035" s="109"/>
      <c r="AJ1035" s="109"/>
      <c r="AK1035" s="109"/>
      <c r="AL1035" s="109"/>
      <c r="AM1035" s="109"/>
      <c r="AN1035" s="109"/>
      <c r="AO1035" s="109"/>
      <c r="AP1035" s="109"/>
      <c r="AQ1035" s="109"/>
      <c r="AR1035" s="109"/>
      <c r="AS1035" s="109"/>
      <c r="AT1035" s="109"/>
      <c r="AU1035" s="109"/>
      <c r="AV1035" s="109"/>
      <c r="AW1035" s="109"/>
      <c r="AX1035" s="109"/>
      <c r="AY1035" s="109"/>
      <c r="AZ1035" s="109"/>
    </row>
    <row r="1036" spans="20:52" x14ac:dyDescent="0.45">
      <c r="T1036" s="109"/>
      <c r="U1036" s="109"/>
      <c r="V1036" s="109"/>
      <c r="W1036" s="109"/>
      <c r="X1036" s="109"/>
      <c r="Y1036" s="109"/>
      <c r="Z1036" s="109"/>
      <c r="AA1036" s="109"/>
      <c r="AB1036" s="109"/>
      <c r="AC1036" s="109"/>
      <c r="AD1036" s="109"/>
      <c r="AE1036" s="109"/>
      <c r="AF1036" s="109"/>
      <c r="AG1036" s="109"/>
      <c r="AH1036" s="109"/>
      <c r="AI1036" s="109"/>
      <c r="AJ1036" s="109"/>
      <c r="AK1036" s="109"/>
      <c r="AL1036" s="109"/>
      <c r="AM1036" s="109"/>
      <c r="AN1036" s="109"/>
      <c r="AO1036" s="109"/>
      <c r="AP1036" s="109"/>
      <c r="AQ1036" s="109"/>
      <c r="AR1036" s="109"/>
      <c r="AS1036" s="109"/>
      <c r="AT1036" s="109"/>
      <c r="AU1036" s="109"/>
      <c r="AV1036" s="109"/>
      <c r="AW1036" s="109"/>
      <c r="AX1036" s="109"/>
      <c r="AY1036" s="109"/>
      <c r="AZ1036" s="109"/>
    </row>
    <row r="1037" spans="20:52" x14ac:dyDescent="0.45">
      <c r="T1037" s="109"/>
      <c r="U1037" s="109"/>
      <c r="V1037" s="109"/>
      <c r="W1037" s="109"/>
      <c r="X1037" s="109"/>
      <c r="Y1037" s="109"/>
      <c r="Z1037" s="109"/>
      <c r="AA1037" s="109"/>
      <c r="AB1037" s="109"/>
      <c r="AC1037" s="109"/>
      <c r="AD1037" s="109"/>
      <c r="AE1037" s="109"/>
      <c r="AF1037" s="109"/>
      <c r="AG1037" s="109"/>
      <c r="AH1037" s="109"/>
      <c r="AI1037" s="109"/>
      <c r="AJ1037" s="109"/>
      <c r="AK1037" s="109"/>
      <c r="AL1037" s="109"/>
      <c r="AM1037" s="109"/>
      <c r="AN1037" s="109"/>
      <c r="AO1037" s="109"/>
      <c r="AP1037" s="109"/>
      <c r="AQ1037" s="109"/>
      <c r="AR1037" s="109"/>
      <c r="AS1037" s="109"/>
      <c r="AT1037" s="109"/>
      <c r="AU1037" s="109"/>
      <c r="AV1037" s="109"/>
      <c r="AW1037" s="109"/>
      <c r="AX1037" s="109"/>
      <c r="AY1037" s="109"/>
      <c r="AZ1037" s="109"/>
    </row>
    <row r="1038" spans="20:52" x14ac:dyDescent="0.45">
      <c r="T1038" s="109"/>
      <c r="U1038" s="109"/>
      <c r="V1038" s="109"/>
      <c r="W1038" s="109"/>
      <c r="X1038" s="109"/>
      <c r="Y1038" s="109"/>
      <c r="Z1038" s="109"/>
      <c r="AA1038" s="109"/>
      <c r="AB1038" s="109"/>
      <c r="AC1038" s="109"/>
      <c r="AD1038" s="109"/>
      <c r="AE1038" s="109"/>
      <c r="AF1038" s="109"/>
      <c r="AG1038" s="109"/>
      <c r="AH1038" s="109"/>
      <c r="AI1038" s="109"/>
      <c r="AJ1038" s="109"/>
      <c r="AK1038" s="109"/>
      <c r="AL1038" s="109"/>
      <c r="AM1038" s="109"/>
      <c r="AN1038" s="109"/>
      <c r="AO1038" s="109"/>
      <c r="AP1038" s="109"/>
      <c r="AQ1038" s="109"/>
      <c r="AR1038" s="109"/>
      <c r="AS1038" s="109"/>
      <c r="AT1038" s="109"/>
      <c r="AU1038" s="109"/>
      <c r="AV1038" s="109"/>
      <c r="AW1038" s="109"/>
      <c r="AX1038" s="109"/>
      <c r="AY1038" s="109"/>
      <c r="AZ1038" s="109"/>
    </row>
    <row r="1039" spans="20:52" x14ac:dyDescent="0.45">
      <c r="T1039" s="109"/>
      <c r="U1039" s="109"/>
      <c r="V1039" s="109"/>
      <c r="W1039" s="109"/>
      <c r="X1039" s="109"/>
      <c r="Y1039" s="109"/>
      <c r="Z1039" s="109"/>
      <c r="AA1039" s="109"/>
      <c r="AB1039" s="109"/>
      <c r="AC1039" s="109"/>
      <c r="AD1039" s="109"/>
      <c r="AE1039" s="109"/>
      <c r="AF1039" s="109"/>
      <c r="AG1039" s="109"/>
      <c r="AH1039" s="109"/>
      <c r="AI1039" s="109"/>
      <c r="AJ1039" s="109"/>
      <c r="AK1039" s="109"/>
      <c r="AL1039" s="109"/>
      <c r="AM1039" s="109"/>
      <c r="AN1039" s="109"/>
      <c r="AO1039" s="109"/>
      <c r="AP1039" s="109"/>
      <c r="AQ1039" s="109"/>
      <c r="AR1039" s="109"/>
      <c r="AS1039" s="109"/>
      <c r="AT1039" s="109"/>
      <c r="AU1039" s="109"/>
      <c r="AV1039" s="109"/>
      <c r="AW1039" s="109"/>
      <c r="AX1039" s="109"/>
      <c r="AY1039" s="109"/>
      <c r="AZ1039" s="109"/>
    </row>
    <row r="1040" spans="20:52" x14ac:dyDescent="0.45">
      <c r="T1040" s="109"/>
      <c r="U1040" s="109"/>
      <c r="V1040" s="109"/>
      <c r="W1040" s="109"/>
      <c r="X1040" s="109"/>
      <c r="Y1040" s="109"/>
      <c r="Z1040" s="109"/>
      <c r="AA1040" s="109"/>
      <c r="AB1040" s="109"/>
      <c r="AC1040" s="109"/>
      <c r="AD1040" s="109"/>
      <c r="AE1040" s="109"/>
      <c r="AF1040" s="109"/>
      <c r="AG1040" s="109"/>
      <c r="AH1040" s="109"/>
      <c r="AI1040" s="109"/>
      <c r="AJ1040" s="109"/>
      <c r="AK1040" s="109"/>
      <c r="AL1040" s="109"/>
      <c r="AM1040" s="109"/>
      <c r="AN1040" s="109"/>
      <c r="AO1040" s="109"/>
      <c r="AP1040" s="109"/>
      <c r="AQ1040" s="109"/>
      <c r="AR1040" s="109"/>
      <c r="AS1040" s="109"/>
      <c r="AT1040" s="109"/>
      <c r="AU1040" s="109"/>
      <c r="AV1040" s="109"/>
      <c r="AW1040" s="109"/>
      <c r="AX1040" s="109"/>
      <c r="AY1040" s="109"/>
      <c r="AZ1040" s="109"/>
    </row>
    <row r="1041" spans="20:52" x14ac:dyDescent="0.45">
      <c r="T1041" s="109"/>
      <c r="U1041" s="109"/>
      <c r="V1041" s="109"/>
      <c r="W1041" s="109"/>
      <c r="X1041" s="109"/>
      <c r="Y1041" s="109"/>
      <c r="Z1041" s="109"/>
      <c r="AA1041" s="109"/>
      <c r="AB1041" s="109"/>
      <c r="AC1041" s="109"/>
      <c r="AD1041" s="109"/>
      <c r="AE1041" s="109"/>
      <c r="AF1041" s="109"/>
      <c r="AG1041" s="109"/>
      <c r="AH1041" s="109"/>
      <c r="AI1041" s="109"/>
      <c r="AJ1041" s="109"/>
      <c r="AK1041" s="109"/>
      <c r="AL1041" s="109"/>
      <c r="AM1041" s="109"/>
      <c r="AN1041" s="109"/>
      <c r="AO1041" s="109"/>
      <c r="AP1041" s="109"/>
      <c r="AQ1041" s="109"/>
      <c r="AR1041" s="109"/>
      <c r="AS1041" s="109"/>
      <c r="AT1041" s="109"/>
      <c r="AU1041" s="109"/>
      <c r="AV1041" s="109"/>
      <c r="AW1041" s="109"/>
      <c r="AX1041" s="109"/>
      <c r="AY1041" s="109"/>
      <c r="AZ1041" s="109"/>
    </row>
    <row r="1042" spans="20:52" x14ac:dyDescent="0.45">
      <c r="T1042" s="109"/>
      <c r="U1042" s="109"/>
      <c r="V1042" s="109"/>
      <c r="W1042" s="109"/>
      <c r="X1042" s="109"/>
      <c r="Y1042" s="109"/>
      <c r="Z1042" s="109"/>
      <c r="AA1042" s="109"/>
      <c r="AB1042" s="109"/>
      <c r="AC1042" s="109"/>
      <c r="AD1042" s="109"/>
      <c r="AE1042" s="109"/>
      <c r="AF1042" s="109"/>
      <c r="AG1042" s="109"/>
      <c r="AH1042" s="109"/>
      <c r="AI1042" s="109"/>
      <c r="AJ1042" s="109"/>
      <c r="AK1042" s="109"/>
      <c r="AL1042" s="109"/>
      <c r="AM1042" s="109"/>
      <c r="AN1042" s="109"/>
      <c r="AO1042" s="109"/>
      <c r="AP1042" s="109"/>
      <c r="AQ1042" s="109"/>
      <c r="AR1042" s="109"/>
      <c r="AS1042" s="109"/>
      <c r="AT1042" s="109"/>
      <c r="AU1042" s="109"/>
      <c r="AV1042" s="109"/>
      <c r="AW1042" s="109"/>
      <c r="AX1042" s="109"/>
      <c r="AY1042" s="109"/>
      <c r="AZ1042" s="109"/>
    </row>
    <row r="1043" spans="20:52" x14ac:dyDescent="0.45">
      <c r="T1043" s="109"/>
      <c r="U1043" s="109"/>
      <c r="V1043" s="109"/>
      <c r="W1043" s="109"/>
      <c r="X1043" s="109"/>
      <c r="Y1043" s="109"/>
      <c r="Z1043" s="109"/>
      <c r="AA1043" s="109"/>
      <c r="AB1043" s="109"/>
      <c r="AC1043" s="109"/>
      <c r="AD1043" s="109"/>
      <c r="AE1043" s="109"/>
      <c r="AF1043" s="109"/>
      <c r="AG1043" s="109"/>
      <c r="AH1043" s="109"/>
      <c r="AI1043" s="109"/>
      <c r="AJ1043" s="109"/>
      <c r="AK1043" s="109"/>
      <c r="AL1043" s="109"/>
      <c r="AM1043" s="109"/>
      <c r="AN1043" s="109"/>
      <c r="AO1043" s="109"/>
      <c r="AP1043" s="109"/>
      <c r="AQ1043" s="109"/>
      <c r="AR1043" s="109"/>
      <c r="AS1043" s="109"/>
      <c r="AT1043" s="109"/>
      <c r="AU1043" s="109"/>
      <c r="AV1043" s="109"/>
      <c r="AW1043" s="109"/>
      <c r="AX1043" s="109"/>
      <c r="AY1043" s="109"/>
      <c r="AZ1043" s="109"/>
    </row>
    <row r="1044" spans="20:52" x14ac:dyDescent="0.45">
      <c r="T1044" s="109"/>
      <c r="U1044" s="109"/>
      <c r="V1044" s="109"/>
      <c r="W1044" s="109"/>
      <c r="X1044" s="109"/>
      <c r="Y1044" s="109"/>
      <c r="Z1044" s="109"/>
      <c r="AA1044" s="109"/>
      <c r="AB1044" s="109"/>
      <c r="AC1044" s="109"/>
      <c r="AD1044" s="109"/>
      <c r="AE1044" s="109"/>
      <c r="AF1044" s="109"/>
      <c r="AG1044" s="109"/>
      <c r="AH1044" s="109"/>
      <c r="AI1044" s="109"/>
      <c r="AJ1044" s="109"/>
      <c r="AK1044" s="109"/>
      <c r="AL1044" s="109"/>
      <c r="AM1044" s="109"/>
      <c r="AN1044" s="109"/>
      <c r="AO1044" s="109"/>
      <c r="AP1044" s="109"/>
      <c r="AQ1044" s="109"/>
      <c r="AR1044" s="109"/>
      <c r="AS1044" s="109"/>
      <c r="AT1044" s="109"/>
      <c r="AU1044" s="109"/>
      <c r="AV1044" s="109"/>
      <c r="AW1044" s="109"/>
      <c r="AX1044" s="109"/>
      <c r="AY1044" s="109"/>
      <c r="AZ1044" s="109"/>
    </row>
    <row r="1045" spans="20:52" x14ac:dyDescent="0.45">
      <c r="T1045" s="109"/>
      <c r="U1045" s="109"/>
      <c r="V1045" s="109"/>
      <c r="W1045" s="109"/>
      <c r="X1045" s="109"/>
      <c r="Y1045" s="109"/>
      <c r="Z1045" s="109"/>
      <c r="AA1045" s="109"/>
      <c r="AB1045" s="109"/>
      <c r="AC1045" s="109"/>
      <c r="AD1045" s="109"/>
      <c r="AE1045" s="109"/>
      <c r="AF1045" s="109"/>
      <c r="AG1045" s="109"/>
      <c r="AH1045" s="109"/>
      <c r="AI1045" s="109"/>
      <c r="AJ1045" s="109"/>
      <c r="AK1045" s="109"/>
      <c r="AL1045" s="109"/>
      <c r="AM1045" s="109"/>
      <c r="AN1045" s="109"/>
      <c r="AO1045" s="109"/>
      <c r="AP1045" s="109"/>
      <c r="AQ1045" s="109"/>
      <c r="AR1045" s="109"/>
      <c r="AS1045" s="109"/>
      <c r="AT1045" s="109"/>
      <c r="AU1045" s="109"/>
      <c r="AV1045" s="109"/>
      <c r="AW1045" s="109"/>
      <c r="AX1045" s="109"/>
      <c r="AY1045" s="109"/>
      <c r="AZ1045" s="109"/>
    </row>
    <row r="1046" spans="20:52" x14ac:dyDescent="0.45">
      <c r="T1046" s="109"/>
      <c r="U1046" s="109"/>
      <c r="V1046" s="109"/>
      <c r="W1046" s="109"/>
      <c r="X1046" s="109"/>
      <c r="Y1046" s="109"/>
      <c r="Z1046" s="109"/>
      <c r="AA1046" s="109"/>
      <c r="AB1046" s="109"/>
      <c r="AC1046" s="109"/>
      <c r="AD1046" s="109"/>
      <c r="AE1046" s="109"/>
      <c r="AF1046" s="109"/>
      <c r="AG1046" s="109"/>
      <c r="AH1046" s="109"/>
      <c r="AI1046" s="109"/>
      <c r="AJ1046" s="109"/>
      <c r="AK1046" s="109"/>
      <c r="AL1046" s="109"/>
      <c r="AM1046" s="109"/>
      <c r="AN1046" s="109"/>
      <c r="AO1046" s="109"/>
      <c r="AP1046" s="109"/>
      <c r="AQ1046" s="109"/>
      <c r="AR1046" s="109"/>
      <c r="AS1046" s="109"/>
      <c r="AT1046" s="109"/>
      <c r="AU1046" s="109"/>
      <c r="AV1046" s="109"/>
      <c r="AW1046" s="109"/>
      <c r="AX1046" s="109"/>
      <c r="AY1046" s="109"/>
      <c r="AZ1046" s="109"/>
    </row>
    <row r="1047" spans="20:52" x14ac:dyDescent="0.45">
      <c r="T1047" s="109"/>
      <c r="U1047" s="109"/>
      <c r="V1047" s="109"/>
      <c r="W1047" s="109"/>
      <c r="X1047" s="109"/>
      <c r="Y1047" s="109"/>
      <c r="Z1047" s="109"/>
      <c r="AA1047" s="109"/>
      <c r="AB1047" s="109"/>
      <c r="AC1047" s="109"/>
      <c r="AD1047" s="109"/>
      <c r="AE1047" s="109"/>
      <c r="AF1047" s="109"/>
      <c r="AG1047" s="109"/>
      <c r="AH1047" s="109"/>
      <c r="AI1047" s="109"/>
      <c r="AJ1047" s="109"/>
      <c r="AK1047" s="109"/>
      <c r="AL1047" s="109"/>
      <c r="AM1047" s="109"/>
      <c r="AN1047" s="109"/>
      <c r="AO1047" s="109"/>
      <c r="AP1047" s="109"/>
      <c r="AQ1047" s="109"/>
      <c r="AR1047" s="109"/>
      <c r="AS1047" s="109"/>
      <c r="AT1047" s="109"/>
      <c r="AU1047" s="109"/>
      <c r="AV1047" s="109"/>
      <c r="AW1047" s="109"/>
      <c r="AX1047" s="109"/>
      <c r="AY1047" s="109"/>
      <c r="AZ1047" s="109"/>
    </row>
    <row r="1048" spans="20:52" x14ac:dyDescent="0.45">
      <c r="T1048" s="109"/>
      <c r="U1048" s="109"/>
      <c r="V1048" s="109"/>
      <c r="W1048" s="109"/>
      <c r="X1048" s="109"/>
      <c r="Y1048" s="109"/>
      <c r="Z1048" s="109"/>
      <c r="AA1048" s="109"/>
      <c r="AB1048" s="109"/>
      <c r="AC1048" s="109"/>
      <c r="AD1048" s="109"/>
      <c r="AE1048" s="109"/>
      <c r="AF1048" s="109"/>
      <c r="AG1048" s="109"/>
      <c r="AH1048" s="109"/>
      <c r="AI1048" s="109"/>
      <c r="AJ1048" s="109"/>
      <c r="AK1048" s="109"/>
      <c r="AL1048" s="109"/>
      <c r="AM1048" s="109"/>
      <c r="AN1048" s="109"/>
      <c r="AO1048" s="109"/>
      <c r="AP1048" s="109"/>
      <c r="AQ1048" s="109"/>
      <c r="AR1048" s="109"/>
      <c r="AS1048" s="109"/>
      <c r="AT1048" s="109"/>
      <c r="AU1048" s="109"/>
      <c r="AV1048" s="109"/>
      <c r="AW1048" s="109"/>
      <c r="AX1048" s="109"/>
      <c r="AY1048" s="109"/>
      <c r="AZ1048" s="109"/>
    </row>
    <row r="1049" spans="20:52" x14ac:dyDescent="0.45">
      <c r="T1049" s="109"/>
      <c r="U1049" s="109"/>
      <c r="V1049" s="109"/>
      <c r="W1049" s="109"/>
      <c r="X1049" s="109"/>
      <c r="Y1049" s="109"/>
      <c r="Z1049" s="109"/>
      <c r="AA1049" s="109"/>
      <c r="AB1049" s="109"/>
      <c r="AC1049" s="109"/>
      <c r="AD1049" s="109"/>
      <c r="AE1049" s="109"/>
      <c r="AF1049" s="109"/>
      <c r="AG1049" s="109"/>
      <c r="AH1049" s="109"/>
      <c r="AI1049" s="109"/>
      <c r="AJ1049" s="109"/>
      <c r="AK1049" s="109"/>
      <c r="AL1049" s="109"/>
      <c r="AM1049" s="109"/>
      <c r="AN1049" s="109"/>
      <c r="AO1049" s="109"/>
      <c r="AP1049" s="109"/>
      <c r="AQ1049" s="109"/>
      <c r="AR1049" s="109"/>
      <c r="AS1049" s="109"/>
      <c r="AT1049" s="109"/>
      <c r="AU1049" s="109"/>
      <c r="AV1049" s="109"/>
      <c r="AW1049" s="109"/>
      <c r="AX1049" s="109"/>
      <c r="AY1049" s="109"/>
      <c r="AZ1049" s="109"/>
    </row>
    <row r="1050" spans="20:52" x14ac:dyDescent="0.45">
      <c r="T1050" s="109"/>
      <c r="U1050" s="109"/>
      <c r="V1050" s="109"/>
      <c r="W1050" s="109"/>
      <c r="X1050" s="109"/>
      <c r="Y1050" s="109"/>
      <c r="Z1050" s="109"/>
      <c r="AA1050" s="109"/>
      <c r="AB1050" s="109"/>
      <c r="AC1050" s="109"/>
      <c r="AD1050" s="109"/>
      <c r="AE1050" s="109"/>
      <c r="AF1050" s="109"/>
      <c r="AG1050" s="109"/>
      <c r="AH1050" s="109"/>
      <c r="AI1050" s="109"/>
      <c r="AJ1050" s="109"/>
      <c r="AK1050" s="109"/>
      <c r="AL1050" s="109"/>
      <c r="AM1050" s="109"/>
      <c r="AN1050" s="109"/>
      <c r="AO1050" s="109"/>
      <c r="AP1050" s="109"/>
      <c r="AQ1050" s="109"/>
      <c r="AR1050" s="109"/>
      <c r="AS1050" s="109"/>
      <c r="AT1050" s="109"/>
      <c r="AU1050" s="109"/>
      <c r="AV1050" s="109"/>
      <c r="AW1050" s="109"/>
      <c r="AX1050" s="109"/>
      <c r="AY1050" s="109"/>
      <c r="AZ1050" s="109"/>
    </row>
    <row r="1051" spans="20:52" x14ac:dyDescent="0.45">
      <c r="T1051" s="109"/>
      <c r="U1051" s="109"/>
      <c r="V1051" s="109"/>
      <c r="W1051" s="109"/>
      <c r="X1051" s="109"/>
      <c r="Y1051" s="109"/>
      <c r="Z1051" s="109"/>
      <c r="AA1051" s="109"/>
      <c r="AB1051" s="109"/>
      <c r="AC1051" s="109"/>
      <c r="AD1051" s="109"/>
      <c r="AE1051" s="109"/>
      <c r="AF1051" s="109"/>
      <c r="AG1051" s="109"/>
      <c r="AH1051" s="109"/>
      <c r="AI1051" s="109"/>
      <c r="AJ1051" s="109"/>
      <c r="AK1051" s="109"/>
      <c r="AL1051" s="109"/>
      <c r="AM1051" s="109"/>
      <c r="AN1051" s="109"/>
      <c r="AO1051" s="109"/>
      <c r="AP1051" s="109"/>
      <c r="AQ1051" s="109"/>
      <c r="AR1051" s="109"/>
      <c r="AS1051" s="109"/>
      <c r="AT1051" s="109"/>
      <c r="AU1051" s="109"/>
      <c r="AV1051" s="109"/>
      <c r="AW1051" s="109"/>
      <c r="AX1051" s="109"/>
      <c r="AY1051" s="109"/>
      <c r="AZ1051" s="109"/>
    </row>
    <row r="1052" spans="20:52" x14ac:dyDescent="0.45">
      <c r="T1052" s="109"/>
      <c r="U1052" s="109"/>
      <c r="V1052" s="109"/>
      <c r="W1052" s="109"/>
      <c r="X1052" s="109"/>
      <c r="Y1052" s="109"/>
      <c r="Z1052" s="109"/>
      <c r="AA1052" s="109"/>
      <c r="AB1052" s="109"/>
      <c r="AC1052" s="109"/>
      <c r="AD1052" s="109"/>
      <c r="AE1052" s="109"/>
      <c r="AF1052" s="109"/>
      <c r="AG1052" s="109"/>
      <c r="AH1052" s="109"/>
      <c r="AI1052" s="109"/>
      <c r="AJ1052" s="109"/>
      <c r="AK1052" s="109"/>
      <c r="AL1052" s="109"/>
      <c r="AM1052" s="109"/>
      <c r="AN1052" s="109"/>
      <c r="AO1052" s="109"/>
      <c r="AP1052" s="109"/>
      <c r="AQ1052" s="109"/>
      <c r="AR1052" s="109"/>
      <c r="AS1052" s="109"/>
      <c r="AT1052" s="109"/>
      <c r="AU1052" s="109"/>
      <c r="AV1052" s="109"/>
      <c r="AW1052" s="109"/>
      <c r="AX1052" s="109"/>
      <c r="AY1052" s="109"/>
      <c r="AZ1052" s="109"/>
    </row>
    <row r="1053" spans="20:52" x14ac:dyDescent="0.45">
      <c r="T1053" s="109"/>
      <c r="U1053" s="109"/>
      <c r="V1053" s="109"/>
      <c r="W1053" s="109"/>
      <c r="X1053" s="109"/>
      <c r="Y1053" s="109"/>
      <c r="Z1053" s="109"/>
      <c r="AA1053" s="109"/>
      <c r="AB1053" s="109"/>
      <c r="AC1053" s="109"/>
      <c r="AD1053" s="109"/>
      <c r="AE1053" s="109"/>
      <c r="AF1053" s="109"/>
      <c r="AG1053" s="109"/>
      <c r="AH1053" s="109"/>
      <c r="AI1053" s="109"/>
      <c r="AJ1053" s="109"/>
      <c r="AK1053" s="109"/>
      <c r="AL1053" s="109"/>
      <c r="AM1053" s="109"/>
      <c r="AN1053" s="109"/>
      <c r="AO1053" s="109"/>
      <c r="AP1053" s="109"/>
      <c r="AQ1053" s="109"/>
      <c r="AR1053" s="109"/>
      <c r="AS1053" s="109"/>
      <c r="AT1053" s="109"/>
      <c r="AU1053" s="109"/>
      <c r="AV1053" s="109"/>
      <c r="AW1053" s="109"/>
      <c r="AX1053" s="109"/>
      <c r="AY1053" s="109"/>
      <c r="AZ1053" s="109"/>
    </row>
    <row r="1054" spans="20:52" x14ac:dyDescent="0.45">
      <c r="T1054" s="109"/>
      <c r="U1054" s="109"/>
      <c r="V1054" s="109"/>
      <c r="W1054" s="109"/>
      <c r="X1054" s="109"/>
      <c r="Y1054" s="109"/>
      <c r="Z1054" s="109"/>
      <c r="AA1054" s="109"/>
      <c r="AB1054" s="109"/>
      <c r="AC1054" s="109"/>
      <c r="AD1054" s="109"/>
      <c r="AE1054" s="109"/>
      <c r="AF1054" s="109"/>
      <c r="AG1054" s="109"/>
      <c r="AH1054" s="109"/>
      <c r="AI1054" s="109"/>
      <c r="AJ1054" s="109"/>
      <c r="AK1054" s="109"/>
      <c r="AL1054" s="109"/>
      <c r="AM1054" s="109"/>
      <c r="AN1054" s="109"/>
      <c r="AO1054" s="109"/>
      <c r="AP1054" s="109"/>
      <c r="AQ1054" s="109"/>
      <c r="AR1054" s="109"/>
      <c r="AS1054" s="109"/>
      <c r="AT1054" s="109"/>
      <c r="AU1054" s="109"/>
      <c r="AV1054" s="109"/>
      <c r="AW1054" s="109"/>
      <c r="AX1054" s="109"/>
      <c r="AY1054" s="109"/>
      <c r="AZ1054" s="109"/>
    </row>
    <row r="1055" spans="20:52" x14ac:dyDescent="0.45">
      <c r="T1055" s="109"/>
      <c r="U1055" s="109"/>
      <c r="V1055" s="109"/>
      <c r="W1055" s="109"/>
      <c r="X1055" s="109"/>
      <c r="Y1055" s="109"/>
      <c r="Z1055" s="109"/>
      <c r="AA1055" s="109"/>
      <c r="AB1055" s="109"/>
      <c r="AC1055" s="109"/>
      <c r="AD1055" s="109"/>
      <c r="AE1055" s="109"/>
      <c r="AF1055" s="109"/>
      <c r="AG1055" s="109"/>
      <c r="AH1055" s="109"/>
      <c r="AI1055" s="109"/>
      <c r="AJ1055" s="109"/>
      <c r="AK1055" s="109"/>
      <c r="AL1055" s="109"/>
      <c r="AM1055" s="109"/>
      <c r="AN1055" s="109"/>
      <c r="AO1055" s="109"/>
      <c r="AP1055" s="109"/>
      <c r="AQ1055" s="109"/>
      <c r="AR1055" s="109"/>
      <c r="AS1055" s="109"/>
      <c r="AT1055" s="109"/>
      <c r="AU1055" s="109"/>
      <c r="AV1055" s="109"/>
      <c r="AW1055" s="109"/>
      <c r="AX1055" s="109"/>
      <c r="AY1055" s="109"/>
      <c r="AZ1055" s="109"/>
    </row>
    <row r="1056" spans="20:52" x14ac:dyDescent="0.45">
      <c r="T1056" s="109"/>
      <c r="U1056" s="109"/>
      <c r="V1056" s="109"/>
      <c r="W1056" s="109"/>
      <c r="X1056" s="109"/>
      <c r="Y1056" s="109"/>
      <c r="Z1056" s="109"/>
      <c r="AA1056" s="109"/>
      <c r="AB1056" s="109"/>
      <c r="AC1056" s="109"/>
      <c r="AD1056" s="109"/>
      <c r="AE1056" s="109"/>
      <c r="AF1056" s="109"/>
      <c r="AG1056" s="109"/>
      <c r="AH1056" s="109"/>
      <c r="AI1056" s="109"/>
      <c r="AJ1056" s="109"/>
      <c r="AK1056" s="109"/>
      <c r="AL1056" s="109"/>
      <c r="AM1056" s="109"/>
      <c r="AN1056" s="109"/>
      <c r="AO1056" s="109"/>
      <c r="AP1056" s="109"/>
      <c r="AQ1056" s="109"/>
      <c r="AR1056" s="109"/>
      <c r="AS1056" s="109"/>
      <c r="AT1056" s="109"/>
      <c r="AU1056" s="109"/>
      <c r="AV1056" s="109"/>
      <c r="AW1056" s="109"/>
      <c r="AX1056" s="109"/>
      <c r="AY1056" s="109"/>
      <c r="AZ1056" s="109"/>
    </row>
    <row r="1057" spans="20:52" x14ac:dyDescent="0.45">
      <c r="T1057" s="109"/>
      <c r="U1057" s="109"/>
      <c r="V1057" s="109"/>
      <c r="W1057" s="109"/>
      <c r="X1057" s="109"/>
      <c r="Y1057" s="109"/>
      <c r="Z1057" s="109"/>
      <c r="AA1057" s="109"/>
      <c r="AB1057" s="109"/>
      <c r="AC1057" s="109"/>
      <c r="AD1057" s="109"/>
      <c r="AE1057" s="109"/>
      <c r="AF1057" s="109"/>
      <c r="AG1057" s="109"/>
      <c r="AH1057" s="109"/>
      <c r="AI1057" s="109"/>
      <c r="AJ1057" s="109"/>
      <c r="AK1057" s="109"/>
      <c r="AL1057" s="109"/>
      <c r="AM1057" s="109"/>
      <c r="AN1057" s="109"/>
      <c r="AO1057" s="109"/>
      <c r="AP1057" s="109"/>
      <c r="AQ1057" s="109"/>
      <c r="AR1057" s="109"/>
      <c r="AS1057" s="109"/>
      <c r="AT1057" s="109"/>
      <c r="AU1057" s="109"/>
      <c r="AV1057" s="109"/>
      <c r="AW1057" s="109"/>
      <c r="AX1057" s="109"/>
      <c r="AY1057" s="109"/>
      <c r="AZ1057" s="109"/>
    </row>
    <row r="1058" spans="20:52" x14ac:dyDescent="0.45">
      <c r="T1058" s="109"/>
      <c r="U1058" s="109"/>
      <c r="V1058" s="109"/>
      <c r="W1058" s="109"/>
      <c r="X1058" s="109"/>
      <c r="Y1058" s="109"/>
      <c r="Z1058" s="109"/>
      <c r="AA1058" s="109"/>
      <c r="AB1058" s="109"/>
      <c r="AC1058" s="109"/>
      <c r="AD1058" s="109"/>
      <c r="AE1058" s="109"/>
      <c r="AF1058" s="109"/>
      <c r="AG1058" s="109"/>
      <c r="AH1058" s="109"/>
      <c r="AI1058" s="109"/>
      <c r="AJ1058" s="109"/>
      <c r="AK1058" s="109"/>
      <c r="AL1058" s="109"/>
      <c r="AM1058" s="109"/>
      <c r="AN1058" s="109"/>
      <c r="AO1058" s="109"/>
      <c r="AP1058" s="109"/>
      <c r="AQ1058" s="109"/>
      <c r="AR1058" s="109"/>
      <c r="AS1058" s="109"/>
      <c r="AT1058" s="109"/>
      <c r="AU1058" s="109"/>
      <c r="AV1058" s="109"/>
      <c r="AW1058" s="109"/>
      <c r="AX1058" s="109"/>
      <c r="AY1058" s="109"/>
      <c r="AZ1058" s="109"/>
    </row>
  </sheetData>
  <sheetProtection algorithmName="SHA-512" hashValue="QJNay/uqZv5WTgv1Xdi+mRyOsp9F63PBHXeglArogGxrVuyrdFe6CrwddnoVcU90oXG08HTSJrpTPoIpZmQshg==" saltValue="4rxv+Vw8/z72KEsAH4rj6g==" spinCount="100000" sheet="1" insertColumns="0" pivotTables="0"/>
  <mergeCells count="287">
    <mergeCell ref="K450:O450"/>
    <mergeCell ref="A451:F451"/>
    <mergeCell ref="K451:O451"/>
    <mergeCell ref="K445:O445"/>
    <mergeCell ref="A446:F446"/>
    <mergeCell ref="K446:O446"/>
    <mergeCell ref="A447:F447"/>
    <mergeCell ref="K447:O447"/>
    <mergeCell ref="A448:F448"/>
    <mergeCell ref="K448:O448"/>
    <mergeCell ref="A449:F449"/>
    <mergeCell ref="K449:O449"/>
    <mergeCell ref="K440:O440"/>
    <mergeCell ref="A441:F441"/>
    <mergeCell ref="K441:O441"/>
    <mergeCell ref="A442:F442"/>
    <mergeCell ref="K442:O442"/>
    <mergeCell ref="A443:F443"/>
    <mergeCell ref="K443:O443"/>
    <mergeCell ref="A444:F444"/>
    <mergeCell ref="K444:O444"/>
    <mergeCell ref="K437:O437"/>
    <mergeCell ref="A438:F438"/>
    <mergeCell ref="K438:O438"/>
    <mergeCell ref="A439:F439"/>
    <mergeCell ref="K439:O439"/>
    <mergeCell ref="K434:O434"/>
    <mergeCell ref="A435:F435"/>
    <mergeCell ref="K435:O435"/>
    <mergeCell ref="A436:F436"/>
    <mergeCell ref="K436:O436"/>
    <mergeCell ref="K428:O428"/>
    <mergeCell ref="A429:F429"/>
    <mergeCell ref="K429:O429"/>
    <mergeCell ref="A430:F430"/>
    <mergeCell ref="K430:O430"/>
    <mergeCell ref="A431:F431"/>
    <mergeCell ref="K431:O431"/>
    <mergeCell ref="K432:O432"/>
    <mergeCell ref="A433:F433"/>
    <mergeCell ref="K433:O433"/>
    <mergeCell ref="K424:O424"/>
    <mergeCell ref="A425:F425"/>
    <mergeCell ref="K425:O425"/>
    <mergeCell ref="A426:F426"/>
    <mergeCell ref="K426:O426"/>
    <mergeCell ref="A427:F427"/>
    <mergeCell ref="A418:F418"/>
    <mergeCell ref="K418:O418"/>
    <mergeCell ref="A419:F419"/>
    <mergeCell ref="K419:O419"/>
    <mergeCell ref="A420:F420"/>
    <mergeCell ref="K420:O420"/>
    <mergeCell ref="A421:F421"/>
    <mergeCell ref="K421:O421"/>
    <mergeCell ref="A422:F422"/>
    <mergeCell ref="K422:O422"/>
    <mergeCell ref="K427:O427"/>
    <mergeCell ref="Q58:R58"/>
    <mergeCell ref="Q60:R60"/>
    <mergeCell ref="Q62:R62"/>
    <mergeCell ref="Q63:R63"/>
    <mergeCell ref="J125:K125"/>
    <mergeCell ref="A479:F479"/>
    <mergeCell ref="A398:F398"/>
    <mergeCell ref="A399:F399"/>
    <mergeCell ref="A400:F400"/>
    <mergeCell ref="A401:F401"/>
    <mergeCell ref="A402:F402"/>
    <mergeCell ref="A403:F403"/>
    <mergeCell ref="A409:F409"/>
    <mergeCell ref="A410:F410"/>
    <mergeCell ref="A463:F463"/>
    <mergeCell ref="K399:O399"/>
    <mergeCell ref="K403:O403"/>
    <mergeCell ref="A407:F407"/>
    <mergeCell ref="A471:F471"/>
    <mergeCell ref="A472:F472"/>
    <mergeCell ref="A473:F473"/>
    <mergeCell ref="A434:F434"/>
    <mergeCell ref="K423:O423"/>
    <mergeCell ref="A424:F424"/>
    <mergeCell ref="A494:F494"/>
    <mergeCell ref="A495:F495"/>
    <mergeCell ref="A490:F490"/>
    <mergeCell ref="A491:F491"/>
    <mergeCell ref="A492:F492"/>
    <mergeCell ref="A489:F489"/>
    <mergeCell ref="A496:F496"/>
    <mergeCell ref="A480:F480"/>
    <mergeCell ref="A481:F481"/>
    <mergeCell ref="A482:F482"/>
    <mergeCell ref="A483:F483"/>
    <mergeCell ref="A484:F484"/>
    <mergeCell ref="A485:F485"/>
    <mergeCell ref="A486:F486"/>
    <mergeCell ref="A493:F493"/>
    <mergeCell ref="A404:F404"/>
    <mergeCell ref="A405:F405"/>
    <mergeCell ref="A406:F406"/>
    <mergeCell ref="A487:F487"/>
    <mergeCell ref="A488:F488"/>
    <mergeCell ref="A464:F464"/>
    <mergeCell ref="A465:F465"/>
    <mergeCell ref="A466:F466"/>
    <mergeCell ref="A467:F467"/>
    <mergeCell ref="A468:F468"/>
    <mergeCell ref="A469:F469"/>
    <mergeCell ref="A470:F470"/>
    <mergeCell ref="A474:F474"/>
    <mergeCell ref="A475:F475"/>
    <mergeCell ref="A476:F476"/>
    <mergeCell ref="A477:F477"/>
    <mergeCell ref="A478:F478"/>
    <mergeCell ref="A432:F432"/>
    <mergeCell ref="A440:F440"/>
    <mergeCell ref="A445:F445"/>
    <mergeCell ref="A450:F450"/>
    <mergeCell ref="A423:F423"/>
    <mergeCell ref="A428:F428"/>
    <mergeCell ref="A437:F437"/>
    <mergeCell ref="K472:O472"/>
    <mergeCell ref="K473:O473"/>
    <mergeCell ref="K474:O474"/>
    <mergeCell ref="K466:O466"/>
    <mergeCell ref="K470:O470"/>
    <mergeCell ref="K471:O471"/>
    <mergeCell ref="A408:F408"/>
    <mergeCell ref="G12:H12"/>
    <mergeCell ref="G13:H13"/>
    <mergeCell ref="G14:H14"/>
    <mergeCell ref="G15:H15"/>
    <mergeCell ref="G16:J16"/>
    <mergeCell ref="C274:D274"/>
    <mergeCell ref="D48:H48"/>
    <mergeCell ref="C270:D270"/>
    <mergeCell ref="D46:H46"/>
    <mergeCell ref="G87:G88"/>
    <mergeCell ref="C269:D269"/>
    <mergeCell ref="C271:D271"/>
    <mergeCell ref="C284:D284"/>
    <mergeCell ref="C272:D272"/>
    <mergeCell ref="C273:D273"/>
    <mergeCell ref="K408:O408"/>
    <mergeCell ref="D312:E312"/>
    <mergeCell ref="K494:O494"/>
    <mergeCell ref="K495:O495"/>
    <mergeCell ref="K496:O496"/>
    <mergeCell ref="K487:O487"/>
    <mergeCell ref="K488:O488"/>
    <mergeCell ref="K489:O489"/>
    <mergeCell ref="K490:O490"/>
    <mergeCell ref="K491:O491"/>
    <mergeCell ref="K492:O492"/>
    <mergeCell ref="K493:O493"/>
    <mergeCell ref="K485:O485"/>
    <mergeCell ref="K486:O486"/>
    <mergeCell ref="K475:O475"/>
    <mergeCell ref="K476:O476"/>
    <mergeCell ref="K477:O477"/>
    <mergeCell ref="K478:O478"/>
    <mergeCell ref="K479:O479"/>
    <mergeCell ref="K481:O481"/>
    <mergeCell ref="K482:O482"/>
    <mergeCell ref="K483:O483"/>
    <mergeCell ref="K484:O484"/>
    <mergeCell ref="K480:O480"/>
    <mergeCell ref="O554:P554"/>
    <mergeCell ref="K400:O400"/>
    <mergeCell ref="K401:O401"/>
    <mergeCell ref="K402:O402"/>
    <mergeCell ref="C351:D351"/>
    <mergeCell ref="B508:M508"/>
    <mergeCell ref="B509:M509"/>
    <mergeCell ref="B510:M510"/>
    <mergeCell ref="B511:M511"/>
    <mergeCell ref="A395:F395"/>
    <mergeCell ref="A396:F396"/>
    <mergeCell ref="A397:F397"/>
    <mergeCell ref="N379:O379"/>
    <mergeCell ref="L371:L372"/>
    <mergeCell ref="M371:M372"/>
    <mergeCell ref="A394:F394"/>
    <mergeCell ref="K404:O404"/>
    <mergeCell ref="L554:M554"/>
    <mergeCell ref="K405:O405"/>
    <mergeCell ref="K406:O406"/>
    <mergeCell ref="K407:O407"/>
    <mergeCell ref="K465:O465"/>
    <mergeCell ref="K467:O467"/>
    <mergeCell ref="K468:O468"/>
    <mergeCell ref="G580:H580"/>
    <mergeCell ref="G554:H554"/>
    <mergeCell ref="G555:H555"/>
    <mergeCell ref="G573:H573"/>
    <mergeCell ref="G574:H574"/>
    <mergeCell ref="C349:D349"/>
    <mergeCell ref="G576:H576"/>
    <mergeCell ref="B505:M505"/>
    <mergeCell ref="B506:M506"/>
    <mergeCell ref="B507:M507"/>
    <mergeCell ref="G577:H577"/>
    <mergeCell ref="C350:D350"/>
    <mergeCell ref="B512:M512"/>
    <mergeCell ref="B513:M513"/>
    <mergeCell ref="K469:O469"/>
    <mergeCell ref="K409:O409"/>
    <mergeCell ref="K410:O410"/>
    <mergeCell ref="K463:O463"/>
    <mergeCell ref="K464:O464"/>
    <mergeCell ref="K394:O394"/>
    <mergeCell ref="K395:O395"/>
    <mergeCell ref="K396:O396"/>
    <mergeCell ref="K397:O397"/>
    <mergeCell ref="K398:O398"/>
    <mergeCell ref="D50:H50"/>
    <mergeCell ref="D52:H52"/>
    <mergeCell ref="C348:D348"/>
    <mergeCell ref="C287:D287"/>
    <mergeCell ref="Q43:R43"/>
    <mergeCell ref="Q46:R46"/>
    <mergeCell ref="Q48:R48"/>
    <mergeCell ref="Q50:R50"/>
    <mergeCell ref="C285:D285"/>
    <mergeCell ref="C346:D346"/>
    <mergeCell ref="C347:D347"/>
    <mergeCell ref="F312:G312"/>
    <mergeCell ref="C282:D282"/>
    <mergeCell ref="C283:D283"/>
    <mergeCell ref="F313:G313"/>
    <mergeCell ref="H327:K327"/>
    <mergeCell ref="D313:E313"/>
    <mergeCell ref="C286:D286"/>
    <mergeCell ref="H340:N341"/>
    <mergeCell ref="O313:Q314"/>
    <mergeCell ref="L323:R323"/>
    <mergeCell ref="A327:G327"/>
    <mergeCell ref="Q53:R53"/>
    <mergeCell ref="Q55:R55"/>
    <mergeCell ref="B328:D328"/>
    <mergeCell ref="B532:M532"/>
    <mergeCell ref="B533:M533"/>
    <mergeCell ref="B534:M534"/>
    <mergeCell ref="B535:M535"/>
    <mergeCell ref="B536:M536"/>
    <mergeCell ref="B526:M526"/>
    <mergeCell ref="B527:M527"/>
    <mergeCell ref="B528:M528"/>
    <mergeCell ref="B529:M529"/>
    <mergeCell ref="B530:M530"/>
    <mergeCell ref="B531:M531"/>
    <mergeCell ref="B520:M520"/>
    <mergeCell ref="B521:M521"/>
    <mergeCell ref="B522:M522"/>
    <mergeCell ref="B523:M523"/>
    <mergeCell ref="B524:M524"/>
    <mergeCell ref="B525:M525"/>
    <mergeCell ref="B514:M514"/>
    <mergeCell ref="B515:M515"/>
    <mergeCell ref="B516:M516"/>
    <mergeCell ref="B517:M517"/>
    <mergeCell ref="B518:M518"/>
    <mergeCell ref="B519:M519"/>
    <mergeCell ref="P144:R145"/>
    <mergeCell ref="M324:O325"/>
    <mergeCell ref="P324:R325"/>
    <mergeCell ref="A72:A73"/>
    <mergeCell ref="G371:G372"/>
    <mergeCell ref="H371:H372"/>
    <mergeCell ref="I371:I372"/>
    <mergeCell ref="J371:J372"/>
    <mergeCell ref="K371:K372"/>
    <mergeCell ref="J122:K122"/>
    <mergeCell ref="J123:K123"/>
    <mergeCell ref="J124:K124"/>
    <mergeCell ref="J126:K126"/>
    <mergeCell ref="J127:K127"/>
    <mergeCell ref="B121:C121"/>
    <mergeCell ref="J121:K121"/>
    <mergeCell ref="B118:C118"/>
    <mergeCell ref="B119:C119"/>
    <mergeCell ref="B120:C120"/>
    <mergeCell ref="J118:K118"/>
    <mergeCell ref="J119:K119"/>
    <mergeCell ref="J120:K120"/>
    <mergeCell ref="E328:G328"/>
    <mergeCell ref="A328:A329"/>
  </mergeCells>
  <phoneticPr fontId="0" type="noConversion"/>
  <dataValidations count="1">
    <dataValidation type="list" allowBlank="1" showInputMessage="1" showErrorMessage="1" promptTitle="HUOM!" prompt="Valitse pudotusvali-kosta haitta%" sqref="I394:I410 I463:I496 R463:R496 R394:R410 I418:I451 R418:R451" xr:uid="{00000000-0002-0000-0000-000000000000}">
      <formula1>$A$585:$A$635</formula1>
    </dataValidation>
  </dataValidations>
  <hyperlinks>
    <hyperlink ref="J69" location="Etusivu!A1" tooltip="Tästä pääset etusivulle" display="Etusivu" xr:uid="{00000000-0004-0000-0000-000000000000}"/>
    <hyperlink ref="J141" location="Etusivu!A1" tooltip="Tästä pääset etusivulle" display="Etusivu" xr:uid="{00000000-0004-0000-0000-000001000000}"/>
    <hyperlink ref="J176" location="Etusivu!A1" tooltip="Tästä pääset etusivulle" display="Etusivu" xr:uid="{00000000-0004-0000-0000-000002000000}"/>
    <hyperlink ref="J217" location="Etusivu!A1" tooltip="Tästä pääset etusivulle" display="Etusivu" xr:uid="{00000000-0004-0000-0000-000003000000}"/>
    <hyperlink ref="J260" location="Etusivu!A1" tooltip="Tästä pääset etusivulle" display="Etusivu" xr:uid="{00000000-0004-0000-0000-000004000000}"/>
    <hyperlink ref="J302" location="Etusivu!A1" tooltip="Tästä pääset etusivulle" display="Etusivu" xr:uid="{00000000-0004-0000-0000-000005000000}"/>
    <hyperlink ref="J345" location="Etusivu!A1" tooltip="Tästä pääset etusivulle" display="Etusivu" xr:uid="{00000000-0004-0000-0000-000006000000}"/>
    <hyperlink ref="M382" location="Etusivu!A1" tooltip="Tästä pääset etusivulle" display="Etusivu" xr:uid="{00000000-0004-0000-0000-000007000000}"/>
    <hyperlink ref="N502" location="Etusivu!A1" tooltip="Tästä pääset etusivulle" display="Etusivu" xr:uid="{00000000-0004-0000-0000-000009000000}"/>
    <hyperlink ref="M545" location="Etusivu!A1" tooltip="Tästä pääset etusivulle" display="Etusivu" xr:uid="{00000000-0004-0000-0000-00000A000000}"/>
    <hyperlink ref="J34" location="Etusivu!A1" tooltip="Tästä pääset etusivulle" display="Etusivu" xr:uid="{00000000-0004-0000-0000-00000B000000}"/>
    <hyperlink ref="A5:C5" location="Etusivu!A101" tooltip=" " display="Pyöreät kanavat ja osat" xr:uid="{00000000-0004-0000-0000-00000C000000}"/>
    <hyperlink ref="A5:D5" location="Etusivu!A101" tooltip=" " display="Pyöreät kanavat ja osat" xr:uid="{00000000-0004-0000-0000-00000E000000}"/>
    <hyperlink ref="A6:D6" location="Etusivu!A137" tooltip=" " display="Tarkastusluukku, ulkosäleiköt" xr:uid="{00000000-0004-0000-0000-00000F000000}"/>
    <hyperlink ref="A7:D7" location="Etusivu!A172" tooltip=" " display="Suorakaidekanavat" xr:uid="{00000000-0004-0000-0000-000010000000}"/>
    <hyperlink ref="A8:B8" location="Etusivu!A254" tooltip=" " display="Venttiilit" xr:uid="{00000000-0004-0000-0000-000011000000}"/>
    <hyperlink ref="A9:D9" location="Etusivu!A297" tooltip="  " display="Ilmanvaihtokoneet, koneosat " xr:uid="{00000000-0004-0000-0000-000012000000}"/>
    <hyperlink ref="A10:B10" location="Etusivu!A338" tooltip=" " display="Pienkojeet" xr:uid="{00000000-0004-0000-0000-000013000000}"/>
    <hyperlink ref="A11:D11" location="Etusivu!A338" tooltip=" " display="Lämminilmakojeet, jäähdytyspalkit" xr:uid="{00000000-0004-0000-0000-000014000000}"/>
    <hyperlink ref="A12:C12" location="Etusivu!A379" tooltip=" " display="Aksiaalipuhaltimet" xr:uid="{00000000-0004-0000-0000-000015000000}"/>
    <hyperlink ref="A13:D13" location="Etusivu!A380" tooltip=" " display="Huippuimuri, LV-Piippu" xr:uid="{00000000-0004-0000-0000-000016000000}"/>
    <hyperlink ref="A14:D14" location="Etusivu!A413" tooltip=" " display="Vaativuus, olosuhdelisät" xr:uid="{00000000-0004-0000-0000-000017000000}"/>
    <hyperlink ref="A14:C14" location="Etusivu!A412" tooltip=" " display="Vaativuus, olosuhdelisät" xr:uid="{00000000-0004-0000-0000-000018000000}"/>
    <hyperlink ref="A15:C15" location="Etusivu!A492" tooltip=" " display="Normitunteina sovitut" xr:uid="{00000000-0004-0000-0000-000019000000}"/>
    <hyperlink ref="A16:B16" location="Etusivu!A536" tooltip=" " display="Osien teko" xr:uid="{00000000-0004-0000-0000-00001A000000}"/>
    <hyperlink ref="G12:H12" location="Urakkatunnit!A1" tooltip=" " display="Urakkatunnit" xr:uid="{00000000-0004-0000-0000-00001B000000}"/>
    <hyperlink ref="G13:H13" location="Välipohjat!A1" tooltip=" " display="Välipohjat" xr:uid="{00000000-0004-0000-0000-00001C000000}"/>
    <hyperlink ref="G14:H14" location="Etumieslisä!A1" tooltip=" " display="Etumieslisä" xr:uid="{00000000-0004-0000-0000-00001D000000}"/>
    <hyperlink ref="G15" location="Jakolista!A1" tooltip=" " display="Jakolisä" xr:uid="{00000000-0004-0000-0000-00001E000000}"/>
    <hyperlink ref="G16:I16" location="'NHK muuttuu kesken urakan'!A1" tooltip=" " display="NHK-muuttuu kesken urakan" xr:uid="{00000000-0004-0000-0000-00001F000000}"/>
    <hyperlink ref="J108" location="Etusivu!A1" tooltip="Tästä pääset etusivulle" display="Etusivu" xr:uid="{00000000-0004-0000-0000-000020000000}"/>
    <hyperlink ref="A11" location="Etusivu!A338" tooltip=" " display="Kiertoilmakojeet, palkit ja paneelit" xr:uid="{EB86D47E-D0FA-481E-8C88-7B082C9E50F1}"/>
    <hyperlink ref="A4:C4" location="Etusivu!A65" display="Urakkapöytäkirja" xr:uid="{00000000-0004-0000-0000-00000D000000}"/>
    <hyperlink ref="A4:E4" location="Etusivu!A65" display="Urakkapöytäkirja" xr:uid="{C8C75764-5E41-456D-A37E-9FAFF811B4FD}"/>
    <hyperlink ref="A5:E5" location="Etusivu!A101" tooltip=" " display="Pyöreät kanavat ja osat" xr:uid="{A987380C-90E0-4999-88FF-AB0785DD87AE}"/>
    <hyperlink ref="A6:E6" location="Etusivu!A137" tooltip=" " display="Tarkastusluukku, ulkosäleiköt" xr:uid="{B75B0B78-9079-44B9-A578-51A7669ECAD0}"/>
    <hyperlink ref="A7:E7" location="Etusivu!A172" tooltip=" " display="Suorakaidekanavat" xr:uid="{607E57F6-A174-40AD-A15D-02D368DFF991}"/>
    <hyperlink ref="A8:E8" location="Etusivu!A254" tooltip=" " display="Venttiilit" xr:uid="{7875FDB5-CBB6-4820-91FB-9F64EDE80DC3}"/>
    <hyperlink ref="A9:E9" location="Etusivu!A297" tooltip="  " display="Ilmanvaihtokoneet, koneosat " xr:uid="{46D7059F-D15F-48C3-BFBD-FCC99A111554}"/>
    <hyperlink ref="A10:E10" location="Etusivu!A338" tooltip=" " display="Pienkojeet" xr:uid="{BF11A265-3BA6-4141-A1F1-6574E2B9392D}"/>
    <hyperlink ref="A11:E11" location="Etusivu!A338" tooltip=" " display="Kiertoilmakojeet, palkit ja paneelit" xr:uid="{7B11EB7A-8317-499D-8F85-7605B68E3EAB}"/>
    <hyperlink ref="A12:E12" location="Etusivu!A379" tooltip=" " display="Aksiaalipuhaltimet" xr:uid="{AC7E765B-69E6-4214-A346-3248C38ACEFF}"/>
    <hyperlink ref="A13:E13" location="Etusivu!A380" tooltip=" " display="Huippuimuri, LV-Piippu" xr:uid="{349CC0ED-C82E-4D78-B26A-292F128475D6}"/>
    <hyperlink ref="A14:E14" location="Etusivu!A412" tooltip=" " display="Vaativuus, olosuhdelisät" xr:uid="{6EE9F3F3-E6D4-46C9-ADA4-FE73ACAC5D54}"/>
    <hyperlink ref="A15:E15" location="Etusivu!A492" tooltip=" " display="Normitunteina sovitut" xr:uid="{EBC2601F-E0B4-44BA-A0E0-E44FC9F3B455}"/>
    <hyperlink ref="A16:E16" location="Etusivu!A536" tooltip=" " display="Osien teko" xr:uid="{22E43387-BF41-4C74-97CF-E3F3715D1D06}"/>
    <hyperlink ref="J461" location="Etusivu!A1" tooltip="Tästä pääset etusivulle" display="Etusivu" xr:uid="{00000000-0004-0000-0000-000008000000}"/>
    <hyperlink ref="J416" location="Etusivu!A1" tooltip="Tästä pääset etusivulle" display="Etusivu" xr:uid="{79D99BDF-EB4B-4B5C-B714-D2D06B0993E3}"/>
  </hyperlinks>
  <pageMargins left="0.35" right="0.23" top="0.38" bottom="0.4" header="0.35" footer="0.36"/>
  <pageSetup paperSize="9" orientation="landscape" horizontalDpi="300" verticalDpi="300" r:id="rId1"/>
  <headerFooter alignWithMargins="0">
    <oddHeader xml:space="preserve">&amp;C
</oddHeader>
  </headerFooter>
  <ignoredErrors>
    <ignoredError sqref="K330 H376:H377 H375 H374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7"/>
  <sheetViews>
    <sheetView zoomScale="130" zoomScaleNormal="130" workbookViewId="0">
      <selection activeCell="A2" sqref="A2"/>
    </sheetView>
  </sheetViews>
  <sheetFormatPr defaultColWidth="9.140625" defaultRowHeight="12.75" x14ac:dyDescent="0.2"/>
  <cols>
    <col min="1" max="1" width="9.140625" style="109"/>
    <col min="2" max="2" width="7.7109375" style="109" customWidth="1"/>
    <col min="3" max="3" width="9.140625" style="109"/>
    <col min="4" max="4" width="9.140625" style="109" customWidth="1"/>
    <col min="5" max="11" width="9.140625" style="109"/>
    <col min="12" max="12" width="10.5703125" style="109" customWidth="1"/>
    <col min="13" max="16384" width="9.140625" style="109"/>
  </cols>
  <sheetData>
    <row r="1" spans="1:13" x14ac:dyDescent="0.2">
      <c r="A1" s="241"/>
      <c r="F1" s="161"/>
      <c r="G1" s="161"/>
      <c r="H1" s="161"/>
      <c r="I1" s="161"/>
    </row>
    <row r="2" spans="1:13" x14ac:dyDescent="0.2">
      <c r="A2" s="325" t="s">
        <v>221</v>
      </c>
      <c r="E2" s="242"/>
    </row>
    <row r="3" spans="1:13" x14ac:dyDescent="0.2">
      <c r="E3" s="242"/>
    </row>
    <row r="4" spans="1:13" ht="15.75" x14ac:dyDescent="0.25">
      <c r="E4" s="242"/>
      <c r="F4" s="157"/>
      <c r="G4" s="777" t="s">
        <v>321</v>
      </c>
      <c r="H4" s="777"/>
    </row>
    <row r="5" spans="1:13" x14ac:dyDescent="0.2">
      <c r="D5" s="109" t="s">
        <v>322</v>
      </c>
    </row>
    <row r="6" spans="1:13" ht="13.5" thickBot="1" x14ac:dyDescent="0.25">
      <c r="D6" s="252"/>
      <c r="E6" s="253"/>
      <c r="F6" s="254"/>
      <c r="G6" s="254"/>
      <c r="H6" s="254"/>
      <c r="I6" s="254"/>
      <c r="J6" s="254"/>
      <c r="K6" s="254"/>
      <c r="L6" s="254"/>
      <c r="M6" s="157" t="s">
        <v>303</v>
      </c>
    </row>
    <row r="7" spans="1:13" ht="13.5" thickBot="1" x14ac:dyDescent="0.25">
      <c r="A7" s="775">
        <f>Urakkatunnit!A10</f>
        <v>0</v>
      </c>
      <c r="B7" s="776"/>
      <c r="C7" s="776"/>
      <c r="D7" s="255"/>
      <c r="E7" s="255"/>
      <c r="F7" s="255"/>
      <c r="G7" s="255"/>
      <c r="H7" s="255"/>
      <c r="I7" s="255"/>
      <c r="J7" s="255"/>
      <c r="K7" s="255"/>
      <c r="L7" s="255"/>
      <c r="M7" s="243">
        <f>SUM(D7:L7)</f>
        <v>0</v>
      </c>
    </row>
    <row r="8" spans="1:13" ht="13.5" thickBot="1" x14ac:dyDescent="0.25">
      <c r="A8" s="775">
        <f>Urakkatunnit!A11</f>
        <v>0</v>
      </c>
      <c r="B8" s="776"/>
      <c r="C8" s="776"/>
      <c r="D8" s="255"/>
      <c r="E8" s="255"/>
      <c r="F8" s="255"/>
      <c r="G8" s="255"/>
      <c r="H8" s="255"/>
      <c r="I8" s="255"/>
      <c r="J8" s="255"/>
      <c r="K8" s="255"/>
      <c r="L8" s="255"/>
      <c r="M8" s="244">
        <f>SUM(D8:L8)</f>
        <v>0</v>
      </c>
    </row>
    <row r="9" spans="1:13" ht="13.5" thickBot="1" x14ac:dyDescent="0.25">
      <c r="A9" s="775">
        <f>Urakkatunnit!A12</f>
        <v>0</v>
      </c>
      <c r="B9" s="776"/>
      <c r="C9" s="776"/>
      <c r="D9" s="255"/>
      <c r="E9" s="255"/>
      <c r="F9" s="255"/>
      <c r="G9" s="255"/>
      <c r="H9" s="255"/>
      <c r="I9" s="255"/>
      <c r="J9" s="255"/>
      <c r="K9" s="255"/>
      <c r="L9" s="255"/>
      <c r="M9" s="243">
        <f t="shared" ref="M9:M21" si="0">SUM(D9:L9)</f>
        <v>0</v>
      </c>
    </row>
    <row r="10" spans="1:13" ht="13.5" thickBot="1" x14ac:dyDescent="0.25">
      <c r="A10" s="775">
        <f>Urakkatunnit!A13</f>
        <v>0</v>
      </c>
      <c r="B10" s="776"/>
      <c r="C10" s="776"/>
      <c r="D10" s="255"/>
      <c r="E10" s="255"/>
      <c r="F10" s="255"/>
      <c r="G10" s="255"/>
      <c r="H10" s="255"/>
      <c r="I10" s="255"/>
      <c r="J10" s="255"/>
      <c r="K10" s="255"/>
      <c r="L10" s="255"/>
      <c r="M10" s="244">
        <f t="shared" si="0"/>
        <v>0</v>
      </c>
    </row>
    <row r="11" spans="1:13" ht="13.5" thickBot="1" x14ac:dyDescent="0.25">
      <c r="A11" s="775">
        <f>Urakkatunnit!A14</f>
        <v>0</v>
      </c>
      <c r="B11" s="776"/>
      <c r="C11" s="776"/>
      <c r="D11" s="255"/>
      <c r="E11" s="255"/>
      <c r="F11" s="255"/>
      <c r="G11" s="255"/>
      <c r="H11" s="255"/>
      <c r="I11" s="255"/>
      <c r="J11" s="255"/>
      <c r="K11" s="255"/>
      <c r="L11" s="255"/>
      <c r="M11" s="243">
        <f t="shared" si="0"/>
        <v>0</v>
      </c>
    </row>
    <row r="12" spans="1:13" ht="13.5" thickBot="1" x14ac:dyDescent="0.25">
      <c r="A12" s="775">
        <f>Urakkatunnit!A15</f>
        <v>0</v>
      </c>
      <c r="B12" s="776"/>
      <c r="C12" s="776"/>
      <c r="D12" s="255"/>
      <c r="E12" s="255"/>
      <c r="F12" s="255"/>
      <c r="G12" s="255"/>
      <c r="H12" s="255"/>
      <c r="I12" s="255"/>
      <c r="J12" s="255"/>
      <c r="K12" s="255"/>
      <c r="L12" s="255"/>
      <c r="M12" s="244">
        <f t="shared" si="0"/>
        <v>0</v>
      </c>
    </row>
    <row r="13" spans="1:13" ht="13.5" thickBot="1" x14ac:dyDescent="0.25">
      <c r="A13" s="775">
        <f>Urakkatunnit!A16</f>
        <v>0</v>
      </c>
      <c r="B13" s="776"/>
      <c r="C13" s="776"/>
      <c r="D13" s="255"/>
      <c r="E13" s="255"/>
      <c r="F13" s="255"/>
      <c r="G13" s="255"/>
      <c r="H13" s="255"/>
      <c r="I13" s="255"/>
      <c r="J13" s="255"/>
      <c r="K13" s="255"/>
      <c r="L13" s="255"/>
      <c r="M13" s="243">
        <f t="shared" si="0"/>
        <v>0</v>
      </c>
    </row>
    <row r="14" spans="1:13" ht="13.5" thickBot="1" x14ac:dyDescent="0.25">
      <c r="A14" s="775">
        <f>Urakkatunnit!A17</f>
        <v>0</v>
      </c>
      <c r="B14" s="776"/>
      <c r="C14" s="776"/>
      <c r="D14" s="255"/>
      <c r="E14" s="255"/>
      <c r="F14" s="255"/>
      <c r="G14" s="255"/>
      <c r="H14" s="255"/>
      <c r="I14" s="255"/>
      <c r="J14" s="255"/>
      <c r="K14" s="255"/>
      <c r="L14" s="255"/>
      <c r="M14" s="244">
        <f t="shared" si="0"/>
        <v>0</v>
      </c>
    </row>
    <row r="15" spans="1:13" ht="13.5" thickBot="1" x14ac:dyDescent="0.25">
      <c r="A15" s="775">
        <f>Urakkatunnit!A18</f>
        <v>0</v>
      </c>
      <c r="B15" s="776"/>
      <c r="C15" s="776"/>
      <c r="D15" s="255"/>
      <c r="E15" s="255"/>
      <c r="F15" s="255"/>
      <c r="G15" s="255"/>
      <c r="H15" s="255"/>
      <c r="I15" s="255"/>
      <c r="J15" s="255"/>
      <c r="K15" s="255"/>
      <c r="L15" s="255"/>
      <c r="M15" s="243">
        <f t="shared" si="0"/>
        <v>0</v>
      </c>
    </row>
    <row r="16" spans="1:13" ht="13.5" thickBot="1" x14ac:dyDescent="0.25">
      <c r="A16" s="775">
        <f>Urakkatunnit!A19</f>
        <v>0</v>
      </c>
      <c r="B16" s="776"/>
      <c r="C16" s="776"/>
      <c r="D16" s="255"/>
      <c r="E16" s="255"/>
      <c r="F16" s="255"/>
      <c r="G16" s="255"/>
      <c r="H16" s="255"/>
      <c r="I16" s="255"/>
      <c r="J16" s="255"/>
      <c r="K16" s="255"/>
      <c r="L16" s="255"/>
      <c r="M16" s="244">
        <f t="shared" si="0"/>
        <v>0</v>
      </c>
    </row>
    <row r="17" spans="1:14" ht="13.5" thickBot="1" x14ac:dyDescent="0.25">
      <c r="A17" s="775">
        <f>Urakkatunnit!A20</f>
        <v>0</v>
      </c>
      <c r="B17" s="776"/>
      <c r="C17" s="776"/>
      <c r="D17" s="255"/>
      <c r="E17" s="255"/>
      <c r="F17" s="255"/>
      <c r="G17" s="255"/>
      <c r="H17" s="255"/>
      <c r="I17" s="255"/>
      <c r="J17" s="255"/>
      <c r="K17" s="255"/>
      <c r="L17" s="255"/>
      <c r="M17" s="243">
        <f t="shared" si="0"/>
        <v>0</v>
      </c>
    </row>
    <row r="18" spans="1:14" ht="13.5" thickBot="1" x14ac:dyDescent="0.25">
      <c r="A18" s="775">
        <f>Urakkatunnit!A21</f>
        <v>0</v>
      </c>
      <c r="B18" s="776"/>
      <c r="C18" s="776"/>
      <c r="D18" s="255"/>
      <c r="E18" s="255"/>
      <c r="F18" s="255"/>
      <c r="G18" s="255"/>
      <c r="H18" s="255"/>
      <c r="I18" s="255"/>
      <c r="J18" s="255"/>
      <c r="K18" s="255"/>
      <c r="L18" s="255"/>
      <c r="M18" s="244">
        <f t="shared" si="0"/>
        <v>0</v>
      </c>
    </row>
    <row r="19" spans="1:14" ht="13.5" thickBot="1" x14ac:dyDescent="0.25">
      <c r="A19" s="775">
        <f>Urakkatunnit!A22</f>
        <v>0</v>
      </c>
      <c r="B19" s="776"/>
      <c r="C19" s="776"/>
      <c r="D19" s="255"/>
      <c r="E19" s="255"/>
      <c r="F19" s="255"/>
      <c r="G19" s="255"/>
      <c r="H19" s="255"/>
      <c r="I19" s="255"/>
      <c r="J19" s="255"/>
      <c r="K19" s="255"/>
      <c r="L19" s="255"/>
      <c r="M19" s="243">
        <f t="shared" si="0"/>
        <v>0</v>
      </c>
    </row>
    <row r="20" spans="1:14" ht="13.5" thickBot="1" x14ac:dyDescent="0.25">
      <c r="A20" s="775">
        <f>Urakkatunnit!A23</f>
        <v>0</v>
      </c>
      <c r="B20" s="776"/>
      <c r="C20" s="776"/>
      <c r="D20" s="255"/>
      <c r="E20" s="255"/>
      <c r="F20" s="255"/>
      <c r="G20" s="255"/>
      <c r="H20" s="255"/>
      <c r="I20" s="255"/>
      <c r="J20" s="255"/>
      <c r="K20" s="255"/>
      <c r="L20" s="255"/>
      <c r="M20" s="244">
        <f t="shared" si="0"/>
        <v>0</v>
      </c>
    </row>
    <row r="21" spans="1:14" ht="13.5" thickBot="1" x14ac:dyDescent="0.25">
      <c r="A21" s="775">
        <f>Urakkatunnit!A24</f>
        <v>0</v>
      </c>
      <c r="B21" s="776"/>
      <c r="C21" s="776"/>
      <c r="D21" s="255"/>
      <c r="E21" s="255"/>
      <c r="F21" s="255"/>
      <c r="G21" s="255"/>
      <c r="H21" s="255"/>
      <c r="I21" s="255"/>
      <c r="J21" s="255"/>
      <c r="K21" s="255"/>
      <c r="L21" s="255"/>
      <c r="M21" s="243">
        <f t="shared" si="0"/>
        <v>0</v>
      </c>
    </row>
    <row r="22" spans="1:14" ht="13.5" thickBot="1" x14ac:dyDescent="0.25">
      <c r="A22" s="772">
        <f>Urakkatunnit!A26</f>
        <v>0</v>
      </c>
      <c r="B22" s="773"/>
      <c r="C22" s="774"/>
      <c r="D22" s="255"/>
      <c r="E22" s="255"/>
      <c r="F22" s="255"/>
      <c r="G22" s="255"/>
      <c r="H22" s="255"/>
      <c r="I22" s="255"/>
      <c r="J22" s="255"/>
      <c r="K22" s="255"/>
      <c r="L22" s="255"/>
      <c r="M22" s="473">
        <f>SUM(D22:L22)</f>
        <v>0</v>
      </c>
    </row>
    <row r="23" spans="1:14" ht="13.5" thickBot="1" x14ac:dyDescent="0.25">
      <c r="A23" s="772">
        <f>Urakkatunnit!A27</f>
        <v>0</v>
      </c>
      <c r="B23" s="773"/>
      <c r="C23" s="774"/>
      <c r="D23" s="255"/>
      <c r="E23" s="255"/>
      <c r="F23" s="255"/>
      <c r="G23" s="255"/>
      <c r="H23" s="255"/>
      <c r="I23" s="255"/>
      <c r="J23" s="255"/>
      <c r="K23" s="255"/>
      <c r="L23" s="255"/>
      <c r="M23" s="473">
        <f>SUM(D23:L23)</f>
        <v>0</v>
      </c>
    </row>
    <row r="24" spans="1:14" ht="13.5" thickBot="1" x14ac:dyDescent="0.25">
      <c r="A24" s="772">
        <f>Urakkatunnit!A28</f>
        <v>0</v>
      </c>
      <c r="B24" s="773"/>
      <c r="C24" s="774"/>
      <c r="D24" s="255"/>
      <c r="E24" s="255"/>
      <c r="F24" s="255"/>
      <c r="G24" s="255"/>
      <c r="H24" s="255"/>
      <c r="I24" s="255"/>
      <c r="J24" s="255"/>
      <c r="K24" s="255"/>
      <c r="L24" s="255"/>
      <c r="M24" s="473">
        <f>SUM(D24:L24)</f>
        <v>0</v>
      </c>
    </row>
    <row r="25" spans="1:14" ht="13.5" thickBot="1" x14ac:dyDescent="0.25">
      <c r="A25" s="772">
        <f>Urakkatunnit!A29</f>
        <v>0</v>
      </c>
      <c r="B25" s="773"/>
      <c r="C25" s="774"/>
      <c r="D25" s="255"/>
      <c r="E25" s="255"/>
      <c r="F25" s="255"/>
      <c r="G25" s="255"/>
      <c r="H25" s="255"/>
      <c r="I25" s="255"/>
      <c r="J25" s="255"/>
      <c r="K25" s="255"/>
      <c r="L25" s="255"/>
      <c r="M25" s="473">
        <f>SUM(D25:L25)</f>
        <v>0</v>
      </c>
    </row>
    <row r="26" spans="1:14" ht="13.5" thickBot="1" x14ac:dyDescent="0.25">
      <c r="C26" s="245" t="s">
        <v>323</v>
      </c>
      <c r="D26" s="246">
        <f t="shared" ref="D26:L26" si="1">SUM(D7:D25)</f>
        <v>0</v>
      </c>
      <c r="E26" s="247">
        <f t="shared" si="1"/>
        <v>0</v>
      </c>
      <c r="F26" s="248">
        <f t="shared" si="1"/>
        <v>0</v>
      </c>
      <c r="G26" s="248">
        <f t="shared" si="1"/>
        <v>0</v>
      </c>
      <c r="H26" s="248">
        <f t="shared" si="1"/>
        <v>0</v>
      </c>
      <c r="I26" s="248">
        <f t="shared" si="1"/>
        <v>0</v>
      </c>
      <c r="J26" s="248">
        <f t="shared" si="1"/>
        <v>0</v>
      </c>
      <c r="K26" s="248">
        <f t="shared" si="1"/>
        <v>0</v>
      </c>
      <c r="L26" s="249">
        <f t="shared" si="1"/>
        <v>0</v>
      </c>
      <c r="M26" s="472"/>
    </row>
    <row r="27" spans="1:14" ht="13.5" thickBot="1" x14ac:dyDescent="0.25">
      <c r="L27" s="250" t="s">
        <v>324</v>
      </c>
      <c r="M27" s="251">
        <f>SUM(D26:L26)</f>
        <v>0</v>
      </c>
      <c r="N27" s="109" t="s">
        <v>305</v>
      </c>
    </row>
  </sheetData>
  <sheetProtection password="C75E" sheet="1"/>
  <mergeCells count="20">
    <mergeCell ref="A17:C17"/>
    <mergeCell ref="A18:C18"/>
    <mergeCell ref="A19:C19"/>
    <mergeCell ref="G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2:C22"/>
    <mergeCell ref="A20:C20"/>
    <mergeCell ref="A23:C23"/>
    <mergeCell ref="A24:C24"/>
    <mergeCell ref="A25:C25"/>
    <mergeCell ref="A21:C21"/>
  </mergeCells>
  <hyperlinks>
    <hyperlink ref="A2" location="Etusivu!A1" tooltip="Tästä pääset etusivulle" display="Etusivu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zoomScale="130" zoomScaleNormal="130" workbookViewId="0"/>
  </sheetViews>
  <sheetFormatPr defaultColWidth="9.140625" defaultRowHeight="12.75" x14ac:dyDescent="0.2"/>
  <cols>
    <col min="1" max="6" width="9.140625" style="109"/>
    <col min="7" max="7" width="11.140625" style="109" bestFit="1" customWidth="1"/>
    <col min="8" max="9" width="9.140625" style="109"/>
    <col min="10" max="10" width="10.85546875" style="109" bestFit="1" customWidth="1"/>
    <col min="11" max="16384" width="9.140625" style="109"/>
  </cols>
  <sheetData>
    <row r="1" spans="1:11" ht="15.75" x14ac:dyDescent="0.25">
      <c r="A1" s="325" t="s">
        <v>221</v>
      </c>
      <c r="D1" s="137" t="s">
        <v>308</v>
      </c>
      <c r="E1" s="256"/>
      <c r="F1" s="256"/>
      <c r="H1" s="256"/>
      <c r="I1" s="256"/>
      <c r="J1" s="256"/>
      <c r="K1" s="256"/>
    </row>
    <row r="2" spans="1:11" ht="15.75" thickBot="1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15.75" thickBot="1" x14ac:dyDescent="0.25">
      <c r="A3" s="374">
        <f>SUM(Etusivu!Q63)</f>
        <v>0</v>
      </c>
      <c r="B3" s="256" t="s">
        <v>0</v>
      </c>
      <c r="C3" s="256"/>
      <c r="D3" s="256"/>
      <c r="E3" s="256"/>
      <c r="F3" s="256"/>
      <c r="G3" s="256"/>
      <c r="H3" s="256"/>
      <c r="I3" s="256"/>
      <c r="J3" s="256"/>
      <c r="K3" s="256"/>
    </row>
    <row r="4" spans="1:11" ht="15.75" x14ac:dyDescent="0.25">
      <c r="A4" s="257"/>
      <c r="B4" s="256"/>
      <c r="C4" s="256"/>
      <c r="D4" s="256"/>
      <c r="E4" s="256"/>
      <c r="F4" s="256"/>
      <c r="G4" s="256"/>
      <c r="I4" s="137"/>
      <c r="J4" s="137"/>
      <c r="K4" s="137"/>
    </row>
    <row r="5" spans="1:11" ht="15" x14ac:dyDescent="0.2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1" ht="15" x14ac:dyDescent="0.2">
      <c r="A6" s="256"/>
      <c r="B6" s="256" t="s">
        <v>296</v>
      </c>
      <c r="C6" s="375">
        <f>SUM(Urakkatunnit!D4)</f>
        <v>0</v>
      </c>
      <c r="D6" s="256" t="s">
        <v>305</v>
      </c>
      <c r="E6" s="258">
        <f>SUM(Urakkatunnit!B35)</f>
        <v>0</v>
      </c>
      <c r="F6" s="256" t="s">
        <v>309</v>
      </c>
      <c r="G6" s="256"/>
      <c r="H6" s="256"/>
      <c r="I6" s="256"/>
      <c r="J6" s="256"/>
      <c r="K6" s="256"/>
    </row>
    <row r="7" spans="1:11" ht="15" x14ac:dyDescent="0.2">
      <c r="A7" s="256"/>
      <c r="B7" s="256" t="s">
        <v>297</v>
      </c>
      <c r="C7" s="375">
        <f>SUM(Urakkatunnit!D5)</f>
        <v>0</v>
      </c>
      <c r="D7" s="256" t="s">
        <v>305</v>
      </c>
      <c r="E7" s="258">
        <f>SUM(Urakkatunnit!D35)</f>
        <v>0</v>
      </c>
      <c r="F7" s="256" t="s">
        <v>309</v>
      </c>
      <c r="G7" s="256"/>
      <c r="H7" s="256"/>
      <c r="I7" s="256"/>
      <c r="J7" s="256"/>
      <c r="K7" s="256"/>
    </row>
    <row r="8" spans="1:11" ht="15" x14ac:dyDescent="0.2">
      <c r="A8" s="256"/>
      <c r="B8" s="256" t="s">
        <v>298</v>
      </c>
      <c r="C8" s="375">
        <f>SUM(Urakkatunnit!D6)</f>
        <v>0</v>
      </c>
      <c r="D8" s="256" t="s">
        <v>305</v>
      </c>
      <c r="E8" s="258">
        <f>SUM(Urakkatunnit!F35)</f>
        <v>0</v>
      </c>
      <c r="F8" s="256" t="s">
        <v>309</v>
      </c>
      <c r="G8" s="256"/>
      <c r="H8" s="256"/>
      <c r="I8" s="256"/>
      <c r="J8" s="256"/>
      <c r="K8" s="256"/>
    </row>
    <row r="9" spans="1:11" ht="15" x14ac:dyDescent="0.2">
      <c r="A9" s="256"/>
      <c r="B9" s="256"/>
      <c r="C9" s="256"/>
      <c r="D9" s="256"/>
      <c r="E9" s="256">
        <f>SUM(E6:E8)</f>
        <v>0</v>
      </c>
      <c r="F9" s="256" t="s">
        <v>309</v>
      </c>
      <c r="G9" s="256"/>
      <c r="H9" s="256"/>
      <c r="I9" s="256"/>
      <c r="J9" s="256"/>
      <c r="K9" s="256"/>
    </row>
    <row r="10" spans="1:11" ht="15" x14ac:dyDescent="0.2">
      <c r="A10" s="256"/>
      <c r="B10" s="256"/>
      <c r="C10" s="256"/>
      <c r="D10" s="256"/>
      <c r="F10" s="256"/>
      <c r="G10" s="256"/>
      <c r="H10" s="256"/>
      <c r="I10" s="256"/>
      <c r="J10" s="256"/>
      <c r="K10" s="256"/>
    </row>
    <row r="11" spans="1:11" ht="15.75" thickBot="1" x14ac:dyDescent="0.25">
      <c r="A11" s="256"/>
      <c r="B11" s="259">
        <f>E6</f>
        <v>0</v>
      </c>
      <c r="C11" s="260" t="s">
        <v>310</v>
      </c>
      <c r="D11" s="259">
        <v>100</v>
      </c>
      <c r="E11" s="261" t="s">
        <v>311</v>
      </c>
      <c r="F11" s="262" t="e">
        <f>B11*D11/C12</f>
        <v>#DIV/0!</v>
      </c>
      <c r="G11" s="263" t="s">
        <v>312</v>
      </c>
      <c r="H11" s="256"/>
      <c r="I11" s="256"/>
      <c r="J11" s="256"/>
      <c r="K11" s="256"/>
    </row>
    <row r="12" spans="1:11" ht="15" x14ac:dyDescent="0.2">
      <c r="A12" s="256"/>
      <c r="B12" s="256"/>
      <c r="C12" s="256">
        <f>E9</f>
        <v>0</v>
      </c>
      <c r="D12" s="256"/>
      <c r="E12" s="256"/>
      <c r="F12" s="256"/>
      <c r="G12" s="256"/>
      <c r="H12" s="256"/>
      <c r="I12" s="256"/>
      <c r="J12" s="256"/>
      <c r="K12" s="256"/>
    </row>
    <row r="13" spans="1:11" ht="15" x14ac:dyDescent="0.2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spans="1:11" ht="15.75" thickBot="1" x14ac:dyDescent="0.25">
      <c r="A14" s="256"/>
      <c r="B14" s="259">
        <f>E7</f>
        <v>0</v>
      </c>
      <c r="C14" s="260" t="s">
        <v>310</v>
      </c>
      <c r="D14" s="259">
        <v>100</v>
      </c>
      <c r="E14" s="261" t="s">
        <v>311</v>
      </c>
      <c r="F14" s="262" t="e">
        <f>B14*D14/C15</f>
        <v>#DIV/0!</v>
      </c>
      <c r="G14" s="256" t="s">
        <v>312</v>
      </c>
      <c r="H14" s="256"/>
      <c r="I14" s="256"/>
      <c r="J14" s="256"/>
      <c r="K14" s="256"/>
    </row>
    <row r="15" spans="1:11" ht="15" x14ac:dyDescent="0.2">
      <c r="A15" s="256"/>
      <c r="B15" s="256"/>
      <c r="C15" s="256">
        <f>E9</f>
        <v>0</v>
      </c>
      <c r="D15" s="256"/>
      <c r="E15" s="256"/>
      <c r="F15" s="256"/>
      <c r="G15" s="256"/>
      <c r="H15" s="256"/>
      <c r="I15" s="256"/>
      <c r="J15" s="256"/>
      <c r="K15" s="256"/>
    </row>
    <row r="16" spans="1:11" ht="15" x14ac:dyDescent="0.2">
      <c r="A16" s="256"/>
      <c r="B16" s="256"/>
      <c r="C16" s="256"/>
      <c r="D16" s="256"/>
      <c r="E16" s="256"/>
      <c r="F16" s="256"/>
      <c r="G16" s="256"/>
      <c r="H16" s="256"/>
      <c r="I16" s="256"/>
      <c r="J16" s="256"/>
      <c r="K16" s="256"/>
    </row>
    <row r="17" spans="1:11" ht="15.75" thickBot="1" x14ac:dyDescent="0.25">
      <c r="B17" s="259">
        <f>E8</f>
        <v>0</v>
      </c>
      <c r="C17" s="260" t="s">
        <v>310</v>
      </c>
      <c r="D17" s="259">
        <v>100</v>
      </c>
      <c r="E17" s="261" t="s">
        <v>311</v>
      </c>
      <c r="F17" s="262" t="e">
        <f>B17*D17/C18</f>
        <v>#DIV/0!</v>
      </c>
      <c r="G17" s="256" t="s">
        <v>312</v>
      </c>
    </row>
    <row r="18" spans="1:11" ht="15" x14ac:dyDescent="0.2">
      <c r="B18" s="256"/>
      <c r="C18" s="256">
        <f>E9</f>
        <v>0</v>
      </c>
      <c r="D18" s="256"/>
      <c r="E18" s="256"/>
      <c r="F18" s="256"/>
      <c r="G18" s="256"/>
    </row>
    <row r="21" spans="1:11" x14ac:dyDescent="0.2">
      <c r="A21" s="147">
        <f>A3</f>
        <v>0</v>
      </c>
      <c r="B21" s="147" t="s">
        <v>313</v>
      </c>
      <c r="C21" s="264" t="e">
        <f>F11</f>
        <v>#DIV/0!</v>
      </c>
      <c r="D21" s="147" t="s">
        <v>312</v>
      </c>
      <c r="E21" s="242" t="s">
        <v>311</v>
      </c>
      <c r="F21" s="147" t="e">
        <f>A21*C21/100</f>
        <v>#DIV/0!</v>
      </c>
      <c r="G21" s="147" t="s">
        <v>313</v>
      </c>
      <c r="H21" s="264">
        <f>$C$6</f>
        <v>0</v>
      </c>
      <c r="I21" s="147" t="s">
        <v>314</v>
      </c>
      <c r="J21" s="264" t="e">
        <f>F21*H21</f>
        <v>#DIV/0!</v>
      </c>
      <c r="K21" s="147" t="s">
        <v>305</v>
      </c>
    </row>
    <row r="22" spans="1:11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264"/>
      <c r="K22" s="147"/>
    </row>
    <row r="23" spans="1:11" x14ac:dyDescent="0.2">
      <c r="A23" s="147">
        <f>A3</f>
        <v>0</v>
      </c>
      <c r="B23" s="147" t="s">
        <v>313</v>
      </c>
      <c r="C23" s="264" t="e">
        <f>F14</f>
        <v>#DIV/0!</v>
      </c>
      <c r="D23" s="147" t="s">
        <v>312</v>
      </c>
      <c r="E23" s="242" t="s">
        <v>311</v>
      </c>
      <c r="F23" s="147" t="e">
        <f>A23*C23/100</f>
        <v>#DIV/0!</v>
      </c>
      <c r="G23" s="147" t="s">
        <v>313</v>
      </c>
      <c r="H23" s="264">
        <f>$C$7</f>
        <v>0</v>
      </c>
      <c r="I23" s="147" t="s">
        <v>314</v>
      </c>
      <c r="J23" s="264" t="e">
        <f>F23*H23</f>
        <v>#DIV/0!</v>
      </c>
      <c r="K23" s="147" t="s">
        <v>305</v>
      </c>
    </row>
    <row r="24" spans="1:1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264"/>
      <c r="K24" s="147"/>
    </row>
    <row r="25" spans="1:11" x14ac:dyDescent="0.2">
      <c r="A25" s="147">
        <f>A3</f>
        <v>0</v>
      </c>
      <c r="B25" s="147" t="s">
        <v>313</v>
      </c>
      <c r="C25" s="264" t="e">
        <f>F17</f>
        <v>#DIV/0!</v>
      </c>
      <c r="D25" s="147" t="s">
        <v>312</v>
      </c>
      <c r="E25" s="242" t="s">
        <v>311</v>
      </c>
      <c r="F25" s="147" t="e">
        <f>A25*C25/100</f>
        <v>#DIV/0!</v>
      </c>
      <c r="G25" s="147" t="s">
        <v>313</v>
      </c>
      <c r="H25" s="264">
        <f>C8</f>
        <v>0</v>
      </c>
      <c r="I25" s="147" t="s">
        <v>314</v>
      </c>
      <c r="J25" s="264" t="e">
        <f>F25*H25</f>
        <v>#DIV/0!</v>
      </c>
      <c r="K25" s="147" t="s">
        <v>305</v>
      </c>
    </row>
    <row r="28" spans="1:11" ht="13.5" thickBot="1" x14ac:dyDescent="0.25"/>
    <row r="29" spans="1:11" ht="15.75" thickBot="1" x14ac:dyDescent="0.25">
      <c r="F29" s="256"/>
      <c r="G29" s="259" t="s">
        <v>315</v>
      </c>
      <c r="H29" s="259"/>
      <c r="I29" s="259"/>
      <c r="J29" s="265" t="e">
        <f>SUM(J21:J25)</f>
        <v>#DIV/0!</v>
      </c>
      <c r="K29" s="259" t="s">
        <v>305</v>
      </c>
    </row>
    <row r="31" spans="1:11" ht="15.75" thickBot="1" x14ac:dyDescent="0.25">
      <c r="A31" s="256"/>
      <c r="B31" s="256"/>
      <c r="C31" s="259" t="s">
        <v>316</v>
      </c>
      <c r="D31" s="259"/>
      <c r="E31" s="259"/>
      <c r="F31" s="256"/>
      <c r="G31" s="256"/>
      <c r="H31" s="256"/>
      <c r="I31" s="256"/>
      <c r="J31" s="256"/>
      <c r="K31" s="256"/>
    </row>
    <row r="32" spans="1:11" ht="15.75" thickBot="1" x14ac:dyDescent="0.25">
      <c r="A32" s="256"/>
      <c r="B32" s="256"/>
      <c r="C32" s="256"/>
      <c r="D32" s="256"/>
      <c r="E32" s="256"/>
      <c r="F32" s="256"/>
      <c r="G32" s="256"/>
      <c r="H32" s="256"/>
      <c r="I32" s="256"/>
      <c r="J32" s="256"/>
      <c r="K32" s="256"/>
    </row>
    <row r="33" spans="1:11" ht="15.75" thickBot="1" x14ac:dyDescent="0.25">
      <c r="A33" s="256"/>
      <c r="B33" s="256"/>
      <c r="C33" s="256"/>
      <c r="D33" s="778" t="e">
        <f>J29</f>
        <v>#DIV/0!</v>
      </c>
      <c r="E33" s="778"/>
      <c r="F33" s="259" t="s">
        <v>314</v>
      </c>
      <c r="G33" s="266" t="e">
        <f>D33/E34</f>
        <v>#DIV/0!</v>
      </c>
      <c r="H33" s="267" t="s">
        <v>317</v>
      </c>
      <c r="I33" s="256"/>
      <c r="J33" s="256"/>
      <c r="K33" s="256"/>
    </row>
    <row r="34" spans="1:11" ht="15" x14ac:dyDescent="0.2">
      <c r="A34" s="256"/>
      <c r="B34" s="256"/>
      <c r="C34" s="256"/>
      <c r="D34" s="256"/>
      <c r="E34" s="256">
        <f>E9</f>
        <v>0</v>
      </c>
      <c r="F34" s="256" t="s">
        <v>306</v>
      </c>
      <c r="G34" s="256"/>
      <c r="H34" s="256"/>
      <c r="I34" s="256"/>
      <c r="J34" s="256"/>
      <c r="K34" s="256"/>
    </row>
  </sheetData>
  <sheetProtection password="C75E" sheet="1"/>
  <mergeCells count="1">
    <mergeCell ref="D33:E33"/>
  </mergeCells>
  <hyperlinks>
    <hyperlink ref="A1" location="Etusivu!A1" tooltip="Tästä pääset etusivulle" display="Etusivu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zoomScale="115" zoomScaleNormal="115" workbookViewId="0">
      <selection activeCell="A2" sqref="A2"/>
    </sheetView>
  </sheetViews>
  <sheetFormatPr defaultColWidth="9.140625" defaultRowHeight="12.75" x14ac:dyDescent="0.2"/>
  <cols>
    <col min="1" max="1" width="21" style="109" customWidth="1"/>
    <col min="2" max="8" width="9.140625" style="109"/>
    <col min="9" max="9" width="12" style="109" customWidth="1"/>
    <col min="10" max="16384" width="9.140625" style="109"/>
  </cols>
  <sheetData>
    <row r="1" spans="1:10" ht="14.25" x14ac:dyDescent="0.2">
      <c r="A1" s="241"/>
      <c r="B1" s="239"/>
      <c r="C1" s="239"/>
      <c r="D1" s="239"/>
      <c r="E1" s="239"/>
      <c r="F1" s="239"/>
      <c r="H1" s="239"/>
      <c r="I1" s="239"/>
    </row>
    <row r="2" spans="1:10" ht="14.25" x14ac:dyDescent="0.2">
      <c r="A2" s="325" t="s">
        <v>221</v>
      </c>
      <c r="B2" s="239"/>
      <c r="C2" s="239"/>
      <c r="D2" s="239"/>
      <c r="E2" s="239"/>
      <c r="F2" s="239"/>
      <c r="G2" s="239"/>
      <c r="H2" s="239"/>
      <c r="I2" s="239"/>
    </row>
    <row r="3" spans="1:10" ht="14.25" x14ac:dyDescent="0.2">
      <c r="A3" s="239"/>
      <c r="B3" s="239"/>
      <c r="C3" s="239"/>
      <c r="D3" s="239"/>
      <c r="E3" s="239"/>
      <c r="F3" s="239"/>
      <c r="G3" s="239"/>
      <c r="H3" s="239"/>
      <c r="I3" s="239"/>
    </row>
    <row r="4" spans="1:10" ht="20.25" x14ac:dyDescent="0.3">
      <c r="A4" s="779" t="s">
        <v>342</v>
      </c>
      <c r="B4" s="779"/>
      <c r="C4" s="779"/>
      <c r="D4" s="779"/>
      <c r="E4" s="239"/>
      <c r="F4" s="239"/>
      <c r="G4" s="239"/>
      <c r="H4" s="239"/>
      <c r="I4" s="239"/>
    </row>
    <row r="5" spans="1:10" ht="15" x14ac:dyDescent="0.25">
      <c r="A5" s="239"/>
      <c r="B5" s="239"/>
      <c r="C5" s="239"/>
      <c r="D5" s="239"/>
      <c r="E5" s="239"/>
      <c r="F5" s="239"/>
      <c r="G5" s="268"/>
      <c r="H5" s="269"/>
      <c r="I5" s="239"/>
    </row>
    <row r="6" spans="1:10" ht="14.25" x14ac:dyDescent="0.2">
      <c r="A6" s="239"/>
      <c r="B6" s="239"/>
      <c r="C6" s="239"/>
      <c r="D6" s="239"/>
      <c r="E6" s="239"/>
      <c r="F6" s="239"/>
      <c r="G6" s="239"/>
      <c r="H6" s="239"/>
      <c r="I6" s="239"/>
    </row>
    <row r="7" spans="1:10" ht="14.25" x14ac:dyDescent="0.2">
      <c r="A7" s="239" t="s">
        <v>325</v>
      </c>
      <c r="B7" s="239"/>
      <c r="C7" s="239"/>
      <c r="D7" s="239"/>
      <c r="E7" s="780" t="s">
        <v>326</v>
      </c>
      <c r="F7" s="780"/>
      <c r="G7" s="239"/>
      <c r="H7" s="239"/>
      <c r="I7" s="270" t="e">
        <f>SUM('NHK muuttuu kesken urakan'!J29)</f>
        <v>#DIV/0!</v>
      </c>
      <c r="J7" s="271" t="s">
        <v>305</v>
      </c>
    </row>
    <row r="8" spans="1:10" ht="14.25" x14ac:dyDescent="0.2">
      <c r="A8" s="147" t="s">
        <v>448</v>
      </c>
      <c r="B8" s="147"/>
      <c r="C8" s="147"/>
      <c r="D8" s="272" t="s">
        <v>5</v>
      </c>
      <c r="E8" s="290"/>
      <c r="F8" s="273" t="s">
        <v>327</v>
      </c>
      <c r="G8" s="461">
        <f>SUM(Urakkatunnit!B10:B24)</f>
        <v>0</v>
      </c>
      <c r="H8" s="274" t="s">
        <v>328</v>
      </c>
      <c r="I8" s="275">
        <f t="shared" ref="I8:I13" si="0">E8*G8</f>
        <v>0</v>
      </c>
      <c r="J8" s="271" t="s">
        <v>305</v>
      </c>
    </row>
    <row r="9" spans="1:10" ht="14.25" x14ac:dyDescent="0.2">
      <c r="A9" s="339" t="s">
        <v>450</v>
      </c>
      <c r="B9" s="339"/>
      <c r="C9" s="339"/>
      <c r="D9" s="455"/>
      <c r="E9" s="290"/>
      <c r="F9" s="273" t="s">
        <v>327</v>
      </c>
      <c r="G9" s="461">
        <f>SUM(Urakkatunnit!B26:B29)</f>
        <v>0</v>
      </c>
      <c r="H9" s="274" t="s">
        <v>328</v>
      </c>
      <c r="I9" s="275">
        <f t="shared" si="0"/>
        <v>0</v>
      </c>
      <c r="J9" s="271"/>
    </row>
    <row r="10" spans="1:10" ht="14.25" x14ac:dyDescent="0.2">
      <c r="A10" s="147" t="s">
        <v>448</v>
      </c>
      <c r="B10" s="239"/>
      <c r="C10" s="239"/>
      <c r="D10" s="272" t="s">
        <v>6</v>
      </c>
      <c r="E10" s="290"/>
      <c r="F10" s="273" t="s">
        <v>327</v>
      </c>
      <c r="G10" s="461">
        <f>SUM(Urakkatunnit!D10:D24)</f>
        <v>0</v>
      </c>
      <c r="H10" s="274" t="s">
        <v>328</v>
      </c>
      <c r="I10" s="275">
        <f t="shared" si="0"/>
        <v>0</v>
      </c>
      <c r="J10" s="271" t="s">
        <v>305</v>
      </c>
    </row>
    <row r="11" spans="1:10" ht="14.25" x14ac:dyDescent="0.2">
      <c r="A11" s="339" t="s">
        <v>450</v>
      </c>
      <c r="B11" s="457"/>
      <c r="C11" s="457"/>
      <c r="D11" s="458"/>
      <c r="E11" s="290"/>
      <c r="F11" s="273" t="s">
        <v>327</v>
      </c>
      <c r="G11" s="461">
        <f>SUM(Urakkatunnit!D26:D29)</f>
        <v>0</v>
      </c>
      <c r="H11" s="274" t="s">
        <v>328</v>
      </c>
      <c r="I11" s="275">
        <f t="shared" si="0"/>
        <v>0</v>
      </c>
      <c r="J11" s="271"/>
    </row>
    <row r="12" spans="1:10" ht="14.25" x14ac:dyDescent="0.2">
      <c r="A12" s="147" t="s">
        <v>448</v>
      </c>
      <c r="D12" s="245" t="s">
        <v>7</v>
      </c>
      <c r="E12" s="456"/>
      <c r="F12" s="273" t="s">
        <v>327</v>
      </c>
      <c r="G12" s="461">
        <f>SUM(Urakkatunnit!F10:F24)</f>
        <v>0</v>
      </c>
      <c r="H12" s="274" t="s">
        <v>328</v>
      </c>
      <c r="I12" s="275">
        <f t="shared" si="0"/>
        <v>0</v>
      </c>
      <c r="J12" s="271" t="s">
        <v>305</v>
      </c>
    </row>
    <row r="13" spans="1:10" ht="14.25" x14ac:dyDescent="0.2">
      <c r="A13" s="339" t="s">
        <v>450</v>
      </c>
      <c r="B13" s="459"/>
      <c r="C13" s="459"/>
      <c r="D13" s="460"/>
      <c r="E13" s="290"/>
      <c r="F13" s="273" t="s">
        <v>327</v>
      </c>
      <c r="G13" s="461">
        <f>SUM(Urakkatunnit!F26:F29)</f>
        <v>0</v>
      </c>
      <c r="H13" s="274" t="s">
        <v>328</v>
      </c>
      <c r="I13" s="275">
        <f t="shared" si="0"/>
        <v>0</v>
      </c>
      <c r="J13" s="271"/>
    </row>
    <row r="14" spans="1:10" ht="14.25" x14ac:dyDescent="0.2">
      <c r="A14" s="147" t="s">
        <v>449</v>
      </c>
      <c r="D14" s="245"/>
      <c r="E14" s="454"/>
      <c r="F14" s="279"/>
      <c r="G14" s="274">
        <f>SUM(Urakkatunnit!H31:H34)</f>
        <v>0</v>
      </c>
      <c r="H14" s="274" t="s">
        <v>328</v>
      </c>
      <c r="I14" s="270">
        <f>SUM(Urakkatunnit!I31:I34)</f>
        <v>0</v>
      </c>
      <c r="J14" s="348" t="s">
        <v>305</v>
      </c>
    </row>
    <row r="15" spans="1:10" ht="14.25" x14ac:dyDescent="0.2">
      <c r="D15" s="245"/>
      <c r="E15" s="453"/>
      <c r="F15" s="279"/>
      <c r="G15" s="239"/>
      <c r="H15" s="239"/>
      <c r="I15" s="270"/>
      <c r="J15" s="271"/>
    </row>
    <row r="16" spans="1:10" ht="14.25" x14ac:dyDescent="0.2">
      <c r="A16" s="276" t="s">
        <v>329</v>
      </c>
      <c r="B16" s="277"/>
      <c r="C16" s="277"/>
      <c r="D16" s="239"/>
      <c r="E16" s="278"/>
      <c r="F16" s="279"/>
      <c r="G16" s="239"/>
      <c r="H16" s="239" t="s">
        <v>330</v>
      </c>
      <c r="I16" s="280" t="e">
        <f>SUM(I7-I8-I9-I10-I11-I12-I13-I14)</f>
        <v>#DIV/0!</v>
      </c>
      <c r="J16" s="271" t="s">
        <v>305</v>
      </c>
    </row>
    <row r="17" spans="1:11" ht="14.25" x14ac:dyDescent="0.2">
      <c r="A17" s="276"/>
      <c r="B17" s="277"/>
      <c r="C17" s="277"/>
      <c r="D17" s="239"/>
      <c r="E17" s="278"/>
      <c r="F17" s="279"/>
      <c r="G17" s="239"/>
      <c r="H17" s="239"/>
      <c r="I17" s="277"/>
    </row>
    <row r="18" spans="1:11" ht="14.25" x14ac:dyDescent="0.2">
      <c r="A18" s="276"/>
      <c r="B18" s="277"/>
      <c r="C18" s="277"/>
      <c r="D18" s="239"/>
      <c r="E18" s="278"/>
      <c r="F18" s="279"/>
      <c r="G18" s="239"/>
      <c r="H18" s="239"/>
      <c r="I18" s="277"/>
    </row>
    <row r="19" spans="1:11" ht="14.25" x14ac:dyDescent="0.2">
      <c r="A19" s="239" t="s">
        <v>331</v>
      </c>
      <c r="B19" s="239"/>
      <c r="C19" s="239"/>
      <c r="D19" s="281"/>
      <c r="E19" s="272"/>
      <c r="F19" s="279"/>
      <c r="G19" s="268"/>
      <c r="H19" s="239"/>
      <c r="I19" s="277"/>
    </row>
    <row r="20" spans="1:11" ht="14.25" x14ac:dyDescent="0.2">
      <c r="A20" s="239" t="s">
        <v>332</v>
      </c>
      <c r="B20" s="239"/>
      <c r="C20" s="239"/>
      <c r="D20" s="239"/>
      <c r="E20" s="282">
        <v>5.2999999999999999E-2</v>
      </c>
      <c r="F20" s="273" t="s">
        <v>310</v>
      </c>
      <c r="G20" s="270" t="e">
        <f>I16</f>
        <v>#DIV/0!</v>
      </c>
      <c r="H20" s="274" t="s">
        <v>333</v>
      </c>
      <c r="I20" s="275" t="e">
        <f>E20*G20</f>
        <v>#DIV/0!</v>
      </c>
      <c r="J20" s="271" t="s">
        <v>305</v>
      </c>
    </row>
    <row r="21" spans="1:11" ht="14.25" x14ac:dyDescent="0.2">
      <c r="A21" s="239" t="s">
        <v>334</v>
      </c>
      <c r="B21" s="239"/>
      <c r="C21" s="239"/>
      <c r="D21" s="272" t="s">
        <v>5</v>
      </c>
      <c r="E21" s="291"/>
      <c r="F21" s="273" t="s">
        <v>327</v>
      </c>
      <c r="G21" s="292"/>
      <c r="H21" s="274" t="s">
        <v>328</v>
      </c>
      <c r="I21" s="283">
        <f>E21*G21</f>
        <v>0</v>
      </c>
      <c r="J21" s="271"/>
    </row>
    <row r="22" spans="1:11" ht="14.25" x14ac:dyDescent="0.2">
      <c r="A22" s="239"/>
      <c r="B22" s="239"/>
      <c r="C22" s="239"/>
      <c r="D22" s="272" t="s">
        <v>6</v>
      </c>
      <c r="E22" s="291"/>
      <c r="F22" s="273" t="s">
        <v>327</v>
      </c>
      <c r="G22" s="292"/>
      <c r="H22" s="274" t="s">
        <v>328</v>
      </c>
      <c r="I22" s="283">
        <f>E22*G22</f>
        <v>0</v>
      </c>
      <c r="J22" s="271"/>
    </row>
    <row r="23" spans="1:11" ht="15" thickBot="1" x14ac:dyDescent="0.25">
      <c r="B23" s="279"/>
      <c r="C23" s="279"/>
      <c r="D23" s="272" t="s">
        <v>7</v>
      </c>
      <c r="E23" s="291"/>
      <c r="F23" s="273" t="s">
        <v>327</v>
      </c>
      <c r="G23" s="292"/>
      <c r="H23" s="274" t="s">
        <v>328</v>
      </c>
      <c r="I23" s="283">
        <f>E23*G23</f>
        <v>0</v>
      </c>
      <c r="J23" s="271" t="s">
        <v>305</v>
      </c>
    </row>
    <row r="24" spans="1:11" ht="15" thickBot="1" x14ac:dyDescent="0.25">
      <c r="A24" s="239" t="s">
        <v>335</v>
      </c>
      <c r="B24" s="239"/>
      <c r="C24" s="239"/>
      <c r="D24" s="239"/>
      <c r="E24" s="284"/>
      <c r="F24" s="279"/>
      <c r="G24" s="239"/>
      <c r="H24" s="239"/>
      <c r="I24" s="285" t="e">
        <f>I20-I21-I22-I23</f>
        <v>#DIV/0!</v>
      </c>
      <c r="J24" s="271" t="s">
        <v>305</v>
      </c>
    </row>
    <row r="25" spans="1:11" ht="15" thickBot="1" x14ac:dyDescent="0.25">
      <c r="A25" s="239" t="s">
        <v>336</v>
      </c>
      <c r="B25" s="239"/>
      <c r="C25" s="239"/>
      <c r="D25" s="239"/>
      <c r="E25" s="286" t="e">
        <f>I24</f>
        <v>#DIV/0!</v>
      </c>
      <c r="F25" s="273" t="s">
        <v>337</v>
      </c>
      <c r="G25" s="287">
        <f>SUM(G21:G23)</f>
        <v>0</v>
      </c>
      <c r="H25" s="274" t="s">
        <v>328</v>
      </c>
      <c r="I25" s="288" t="e">
        <f>E25/G25</f>
        <v>#DIV/0!</v>
      </c>
      <c r="J25" s="271" t="s">
        <v>317</v>
      </c>
    </row>
    <row r="26" spans="1:11" ht="15.75" thickBot="1" x14ac:dyDescent="0.3">
      <c r="A26" s="239" t="s">
        <v>338</v>
      </c>
      <c r="B26" s="781"/>
      <c r="C26" s="782"/>
      <c r="D26" s="783"/>
      <c r="E26" s="293"/>
      <c r="F26" s="273" t="s">
        <v>339</v>
      </c>
      <c r="G26" s="270" t="e">
        <f>I25</f>
        <v>#DIV/0!</v>
      </c>
      <c r="H26" s="240" t="s">
        <v>333</v>
      </c>
      <c r="I26" s="294" t="e">
        <f>E26*G26</f>
        <v>#DIV/0!</v>
      </c>
      <c r="J26" s="271" t="s">
        <v>305</v>
      </c>
      <c r="K26" s="289" t="s">
        <v>340</v>
      </c>
    </row>
    <row r="27" spans="1:11" ht="15.75" thickBot="1" x14ac:dyDescent="0.3">
      <c r="A27" s="239" t="s">
        <v>341</v>
      </c>
      <c r="B27" s="781"/>
      <c r="C27" s="782"/>
      <c r="D27" s="783"/>
      <c r="E27" s="293"/>
      <c r="F27" s="273" t="s">
        <v>339</v>
      </c>
      <c r="G27" s="270" t="e">
        <f>I25</f>
        <v>#DIV/0!</v>
      </c>
      <c r="H27" s="240" t="s">
        <v>333</v>
      </c>
      <c r="I27" s="295" t="e">
        <f>E27*G27</f>
        <v>#DIV/0!</v>
      </c>
      <c r="J27" s="271" t="s">
        <v>305</v>
      </c>
      <c r="K27" s="289" t="s">
        <v>340</v>
      </c>
    </row>
    <row r="28" spans="1:11" ht="14.25" x14ac:dyDescent="0.2">
      <c r="A28" s="239"/>
      <c r="B28" s="239"/>
      <c r="C28" s="239"/>
      <c r="D28" s="239"/>
      <c r="E28" s="239"/>
      <c r="F28" s="239"/>
      <c r="G28" s="239"/>
      <c r="H28" s="239"/>
      <c r="I28" s="239"/>
    </row>
  </sheetData>
  <sheetProtection password="C75E" sheet="1"/>
  <mergeCells count="4">
    <mergeCell ref="A4:D4"/>
    <mergeCell ref="E7:F7"/>
    <mergeCell ref="B26:D26"/>
    <mergeCell ref="B27:D27"/>
  </mergeCells>
  <hyperlinks>
    <hyperlink ref="A2" location="Etusivu!A1" tooltip="Tästä pääset etusivulle" display="Etusivu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7"/>
  <sheetViews>
    <sheetView zoomScale="120" zoomScaleNormal="120" workbookViewId="0"/>
  </sheetViews>
  <sheetFormatPr defaultColWidth="9.140625" defaultRowHeight="12.75" x14ac:dyDescent="0.2"/>
  <cols>
    <col min="1" max="1" width="21" style="109" customWidth="1"/>
    <col min="2" max="2" width="0.140625" style="109" hidden="1" customWidth="1"/>
    <col min="3" max="3" width="9.140625" style="109" hidden="1" customWidth="1"/>
    <col min="4" max="6" width="9.140625" style="109"/>
    <col min="7" max="7" width="10.28515625" style="109" customWidth="1"/>
    <col min="8" max="9" width="10.5703125" style="109" customWidth="1"/>
    <col min="10" max="10" width="11.42578125" style="109" customWidth="1"/>
    <col min="11" max="11" width="10.5703125" style="109" customWidth="1"/>
    <col min="12" max="16384" width="9.140625" style="109"/>
  </cols>
  <sheetData>
    <row r="1" spans="1:13" x14ac:dyDescent="0.2">
      <c r="A1" s="325" t="s">
        <v>221</v>
      </c>
    </row>
    <row r="2" spans="1:13" ht="15.75" x14ac:dyDescent="0.25">
      <c r="A2" s="777" t="s">
        <v>343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</row>
    <row r="3" spans="1:13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x14ac:dyDescent="0.2">
      <c r="A4" s="338" t="s">
        <v>344</v>
      </c>
      <c r="B4" s="339"/>
      <c r="C4" s="339"/>
      <c r="D4" s="784">
        <f>Etusivu!D48</f>
        <v>0</v>
      </c>
      <c r="E4" s="784"/>
      <c r="F4" s="784"/>
      <c r="G4" s="784"/>
      <c r="H4" s="147"/>
      <c r="I4" s="147"/>
      <c r="J4" s="147"/>
      <c r="K4" s="147"/>
      <c r="L4" s="147"/>
      <c r="M4" s="147"/>
    </row>
    <row r="5" spans="1:13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3" x14ac:dyDescent="0.2">
      <c r="A6" s="339" t="s">
        <v>345</v>
      </c>
      <c r="B6" s="339"/>
      <c r="C6" s="339"/>
      <c r="D6" s="787" t="e">
        <f>SUM('NHK muuttuu kesken urakan'!J29)</f>
        <v>#DIV/0!</v>
      </c>
      <c r="E6" s="787"/>
      <c r="F6" s="787"/>
      <c r="G6" s="787"/>
      <c r="H6" s="147"/>
      <c r="I6" s="147"/>
      <c r="J6" s="147"/>
      <c r="K6" s="147"/>
      <c r="L6" s="147"/>
      <c r="M6" s="147"/>
    </row>
    <row r="7" spans="1:13" x14ac:dyDescent="0.2">
      <c r="A7" s="242" t="s">
        <v>447</v>
      </c>
      <c r="B7" s="147"/>
      <c r="C7" s="147"/>
      <c r="D7" s="789">
        <f>SUM(J33:J36)</f>
        <v>0</v>
      </c>
      <c r="E7" s="790"/>
      <c r="F7" s="790"/>
      <c r="G7" s="790"/>
      <c r="H7" s="147"/>
      <c r="I7" s="147"/>
      <c r="J7" s="147"/>
      <c r="K7" s="147"/>
      <c r="L7" s="147"/>
      <c r="M7" s="147"/>
    </row>
    <row r="8" spans="1:13" x14ac:dyDescent="0.2">
      <c r="A8" s="242" t="s">
        <v>446</v>
      </c>
      <c r="B8" s="147"/>
      <c r="C8" s="147"/>
      <c r="D8" s="791" t="e">
        <f>SUM(D6-D7)</f>
        <v>#DIV/0!</v>
      </c>
      <c r="E8" s="792"/>
      <c r="F8" s="792"/>
      <c r="G8" s="792"/>
      <c r="H8" s="340"/>
      <c r="I8" s="147"/>
      <c r="J8" s="147"/>
      <c r="K8" s="147"/>
      <c r="L8" s="147"/>
      <c r="M8" s="147"/>
    </row>
    <row r="9" spans="1:13" x14ac:dyDescent="0.2">
      <c r="A9" s="147"/>
      <c r="B9" s="147"/>
      <c r="C9" s="147"/>
      <c r="D9" s="147"/>
      <c r="E9" s="147"/>
      <c r="F9" s="147"/>
      <c r="G9" s="341"/>
      <c r="H9" s="339"/>
      <c r="I9" s="147"/>
      <c r="J9" s="147"/>
      <c r="K9" s="147"/>
      <c r="L9" s="147"/>
      <c r="M9" s="147"/>
    </row>
    <row r="10" spans="1:13" x14ac:dyDescent="0.2">
      <c r="A10" s="342"/>
      <c r="B10" s="147"/>
      <c r="C10" s="147"/>
      <c r="D10" s="343"/>
      <c r="E10" s="785" t="s">
        <v>428</v>
      </c>
      <c r="F10" s="344" t="s">
        <v>346</v>
      </c>
      <c r="G10" s="345" t="s">
        <v>347</v>
      </c>
      <c r="H10" s="343" t="s">
        <v>348</v>
      </c>
      <c r="I10" s="346" t="s">
        <v>349</v>
      </c>
      <c r="J10" s="343" t="s">
        <v>348</v>
      </c>
      <c r="K10" s="343"/>
      <c r="L10" s="136"/>
      <c r="M10" s="136"/>
    </row>
    <row r="11" spans="1:13" x14ac:dyDescent="0.2">
      <c r="A11" s="347" t="s">
        <v>350</v>
      </c>
      <c r="B11" s="348"/>
      <c r="C11" s="348"/>
      <c r="D11" s="349" t="s">
        <v>351</v>
      </c>
      <c r="E11" s="786"/>
      <c r="F11" s="350" t="s">
        <v>352</v>
      </c>
      <c r="G11" s="351" t="s">
        <v>353</v>
      </c>
      <c r="H11" s="351" t="s">
        <v>321</v>
      </c>
      <c r="I11" s="352" t="s">
        <v>354</v>
      </c>
      <c r="J11" s="351" t="s">
        <v>355</v>
      </c>
      <c r="K11" s="353" t="s">
        <v>356</v>
      </c>
      <c r="L11" s="136"/>
      <c r="M11" s="136"/>
    </row>
    <row r="12" spans="1:13" x14ac:dyDescent="0.2">
      <c r="A12" s="354">
        <f>Urakkatunnit!A10</f>
        <v>0</v>
      </c>
      <c r="B12" s="348"/>
      <c r="C12" s="348"/>
      <c r="D12" s="355">
        <f>SUM(Urakkatunnit!H10)</f>
        <v>0</v>
      </c>
      <c r="E12" s="379"/>
      <c r="F12" s="356">
        <f t="shared" ref="F12:F31" si="0">D12*E12</f>
        <v>0</v>
      </c>
      <c r="G12" s="357">
        <f>SUM(Urakkatunnit!I10)</f>
        <v>0</v>
      </c>
      <c r="H12" s="358">
        <f>SUM(Välipohjat!M7)</f>
        <v>0</v>
      </c>
      <c r="I12" s="359" t="e">
        <f>F12*$D$8/$F$37</f>
        <v>#DIV/0!</v>
      </c>
      <c r="J12" s="358">
        <f>G12+H12</f>
        <v>0</v>
      </c>
      <c r="K12" s="360" t="e">
        <f t="shared" ref="K12:K31" si="1">I12-J12</f>
        <v>#DIV/0!</v>
      </c>
      <c r="L12" s="264"/>
      <c r="M12" s="264"/>
    </row>
    <row r="13" spans="1:13" x14ac:dyDescent="0.2">
      <c r="A13" s="354">
        <f>Urakkatunnit!A11</f>
        <v>0</v>
      </c>
      <c r="B13" s="348"/>
      <c r="C13" s="348"/>
      <c r="D13" s="355">
        <f>SUM(Urakkatunnit!H11)</f>
        <v>0</v>
      </c>
      <c r="E13" s="379"/>
      <c r="F13" s="356">
        <f t="shared" si="0"/>
        <v>0</v>
      </c>
      <c r="G13" s="357">
        <f>SUM(Urakkatunnit!I11)</f>
        <v>0</v>
      </c>
      <c r="H13" s="358">
        <f>SUM(Välipohjat!M8)</f>
        <v>0</v>
      </c>
      <c r="I13" s="359" t="e">
        <f t="shared" ref="I13:I31" si="2">F13*$D$8/$F$37</f>
        <v>#DIV/0!</v>
      </c>
      <c r="J13" s="358">
        <f t="shared" ref="J13:J31" si="3">G13+H13</f>
        <v>0</v>
      </c>
      <c r="K13" s="360" t="e">
        <f t="shared" si="1"/>
        <v>#DIV/0!</v>
      </c>
      <c r="L13" s="264"/>
      <c r="M13" s="264"/>
    </row>
    <row r="14" spans="1:13" x14ac:dyDescent="0.2">
      <c r="A14" s="354">
        <f>Urakkatunnit!A12</f>
        <v>0</v>
      </c>
      <c r="B14" s="348"/>
      <c r="C14" s="348"/>
      <c r="D14" s="355">
        <f>SUM(Urakkatunnit!H12)</f>
        <v>0</v>
      </c>
      <c r="E14" s="379"/>
      <c r="F14" s="356">
        <f t="shared" si="0"/>
        <v>0</v>
      </c>
      <c r="G14" s="357">
        <f>SUM(Urakkatunnit!I12)</f>
        <v>0</v>
      </c>
      <c r="H14" s="358">
        <f>SUM(Välipohjat!M9)</f>
        <v>0</v>
      </c>
      <c r="I14" s="359" t="e">
        <f t="shared" si="2"/>
        <v>#DIV/0!</v>
      </c>
      <c r="J14" s="358">
        <f t="shared" si="3"/>
        <v>0</v>
      </c>
      <c r="K14" s="360" t="e">
        <f t="shared" si="1"/>
        <v>#DIV/0!</v>
      </c>
      <c r="L14" s="264"/>
      <c r="M14" s="264"/>
    </row>
    <row r="15" spans="1:13" x14ac:dyDescent="0.2">
      <c r="A15" s="354">
        <f>Urakkatunnit!A13</f>
        <v>0</v>
      </c>
      <c r="B15" s="348"/>
      <c r="C15" s="348"/>
      <c r="D15" s="355">
        <f>SUM(Urakkatunnit!H13)</f>
        <v>0</v>
      </c>
      <c r="E15" s="379"/>
      <c r="F15" s="356">
        <f t="shared" si="0"/>
        <v>0</v>
      </c>
      <c r="G15" s="357">
        <f>SUM(Urakkatunnit!I13)</f>
        <v>0</v>
      </c>
      <c r="H15" s="358">
        <f>SUM(Välipohjat!M10)</f>
        <v>0</v>
      </c>
      <c r="I15" s="359" t="e">
        <f t="shared" si="2"/>
        <v>#DIV/0!</v>
      </c>
      <c r="J15" s="358">
        <f t="shared" si="3"/>
        <v>0</v>
      </c>
      <c r="K15" s="360" t="e">
        <f t="shared" si="1"/>
        <v>#DIV/0!</v>
      </c>
      <c r="L15" s="264"/>
      <c r="M15" s="264"/>
    </row>
    <row r="16" spans="1:13" x14ac:dyDescent="0.2">
      <c r="A16" s="354">
        <f>Urakkatunnit!A14</f>
        <v>0</v>
      </c>
      <c r="B16" s="348"/>
      <c r="C16" s="348"/>
      <c r="D16" s="355">
        <f>SUM(Urakkatunnit!H14)</f>
        <v>0</v>
      </c>
      <c r="E16" s="379"/>
      <c r="F16" s="356">
        <f t="shared" si="0"/>
        <v>0</v>
      </c>
      <c r="G16" s="357">
        <f>SUM(Urakkatunnit!I14)</f>
        <v>0</v>
      </c>
      <c r="H16" s="358">
        <f>SUM(Välipohjat!M11)</f>
        <v>0</v>
      </c>
      <c r="I16" s="359" t="e">
        <f t="shared" si="2"/>
        <v>#DIV/0!</v>
      </c>
      <c r="J16" s="358">
        <f t="shared" si="3"/>
        <v>0</v>
      </c>
      <c r="K16" s="360" t="e">
        <f t="shared" si="1"/>
        <v>#DIV/0!</v>
      </c>
      <c r="L16" s="264"/>
      <c r="M16" s="264"/>
    </row>
    <row r="17" spans="1:13" x14ac:dyDescent="0.2">
      <c r="A17" s="354">
        <f>Urakkatunnit!A15</f>
        <v>0</v>
      </c>
      <c r="B17" s="348"/>
      <c r="C17" s="348"/>
      <c r="D17" s="355">
        <f>SUM(Urakkatunnit!H15)</f>
        <v>0</v>
      </c>
      <c r="E17" s="379"/>
      <c r="F17" s="356">
        <f t="shared" si="0"/>
        <v>0</v>
      </c>
      <c r="G17" s="357">
        <f>SUM(Urakkatunnit!I15)</f>
        <v>0</v>
      </c>
      <c r="H17" s="358">
        <f>SUM(Välipohjat!M12)</f>
        <v>0</v>
      </c>
      <c r="I17" s="359" t="e">
        <f t="shared" si="2"/>
        <v>#DIV/0!</v>
      </c>
      <c r="J17" s="358">
        <f t="shared" si="3"/>
        <v>0</v>
      </c>
      <c r="K17" s="360" t="e">
        <f t="shared" si="1"/>
        <v>#DIV/0!</v>
      </c>
      <c r="L17" s="264"/>
      <c r="M17" s="264"/>
    </row>
    <row r="18" spans="1:13" x14ac:dyDescent="0.2">
      <c r="A18" s="354">
        <f>Urakkatunnit!A16</f>
        <v>0</v>
      </c>
      <c r="B18" s="348"/>
      <c r="C18" s="348"/>
      <c r="D18" s="355">
        <f>SUM(Urakkatunnit!H16)</f>
        <v>0</v>
      </c>
      <c r="E18" s="379"/>
      <c r="F18" s="356">
        <f t="shared" si="0"/>
        <v>0</v>
      </c>
      <c r="G18" s="357">
        <f>SUM(Urakkatunnit!I16)</f>
        <v>0</v>
      </c>
      <c r="H18" s="358">
        <f>SUM(Välipohjat!M13)</f>
        <v>0</v>
      </c>
      <c r="I18" s="359" t="e">
        <f t="shared" si="2"/>
        <v>#DIV/0!</v>
      </c>
      <c r="J18" s="358">
        <f t="shared" si="3"/>
        <v>0</v>
      </c>
      <c r="K18" s="360" t="e">
        <f t="shared" si="1"/>
        <v>#DIV/0!</v>
      </c>
      <c r="L18" s="264"/>
      <c r="M18" s="264"/>
    </row>
    <row r="19" spans="1:13" x14ac:dyDescent="0.2">
      <c r="A19" s="354">
        <f>Urakkatunnit!A17</f>
        <v>0</v>
      </c>
      <c r="B19" s="361"/>
      <c r="C19" s="348"/>
      <c r="D19" s="355">
        <f>SUM(Urakkatunnit!H17)</f>
        <v>0</v>
      </c>
      <c r="E19" s="379"/>
      <c r="F19" s="356">
        <f t="shared" si="0"/>
        <v>0</v>
      </c>
      <c r="G19" s="357">
        <f>SUM(Urakkatunnit!I17)</f>
        <v>0</v>
      </c>
      <c r="H19" s="358">
        <f>SUM(Välipohjat!M14)</f>
        <v>0</v>
      </c>
      <c r="I19" s="359" t="e">
        <f t="shared" si="2"/>
        <v>#DIV/0!</v>
      </c>
      <c r="J19" s="358">
        <f t="shared" si="3"/>
        <v>0</v>
      </c>
      <c r="K19" s="360" t="e">
        <f t="shared" si="1"/>
        <v>#DIV/0!</v>
      </c>
      <c r="L19" s="264"/>
      <c r="M19" s="264"/>
    </row>
    <row r="20" spans="1:13" x14ac:dyDescent="0.2">
      <c r="A20" s="354">
        <f>Urakkatunnit!A18</f>
        <v>0</v>
      </c>
      <c r="B20" s="348"/>
      <c r="C20" s="348"/>
      <c r="D20" s="355">
        <f>SUM(Urakkatunnit!H18)</f>
        <v>0</v>
      </c>
      <c r="E20" s="379"/>
      <c r="F20" s="356">
        <f t="shared" si="0"/>
        <v>0</v>
      </c>
      <c r="G20" s="357">
        <f>SUM(Urakkatunnit!I18)</f>
        <v>0</v>
      </c>
      <c r="H20" s="358">
        <f>SUM(Välipohjat!M15)</f>
        <v>0</v>
      </c>
      <c r="I20" s="359" t="e">
        <f t="shared" si="2"/>
        <v>#DIV/0!</v>
      </c>
      <c r="J20" s="358">
        <f t="shared" si="3"/>
        <v>0</v>
      </c>
      <c r="K20" s="360" t="e">
        <f t="shared" si="1"/>
        <v>#DIV/0!</v>
      </c>
      <c r="L20" s="264"/>
      <c r="M20" s="264"/>
    </row>
    <row r="21" spans="1:13" x14ac:dyDescent="0.2">
      <c r="A21" s="354">
        <f>Urakkatunnit!A19</f>
        <v>0</v>
      </c>
      <c r="B21" s="348"/>
      <c r="C21" s="348"/>
      <c r="D21" s="355">
        <f>SUM(Urakkatunnit!H19)</f>
        <v>0</v>
      </c>
      <c r="E21" s="379"/>
      <c r="F21" s="356">
        <f t="shared" si="0"/>
        <v>0</v>
      </c>
      <c r="G21" s="357">
        <f>SUM(Urakkatunnit!I19)</f>
        <v>0</v>
      </c>
      <c r="H21" s="358">
        <f>SUM(Välipohjat!M16)</f>
        <v>0</v>
      </c>
      <c r="I21" s="359" t="e">
        <f t="shared" si="2"/>
        <v>#DIV/0!</v>
      </c>
      <c r="J21" s="358">
        <f t="shared" si="3"/>
        <v>0</v>
      </c>
      <c r="K21" s="360" t="e">
        <f t="shared" si="1"/>
        <v>#DIV/0!</v>
      </c>
      <c r="L21" s="264"/>
      <c r="M21" s="264"/>
    </row>
    <row r="22" spans="1:13" x14ac:dyDescent="0.2">
      <c r="A22" s="354">
        <f>Urakkatunnit!A20</f>
        <v>0</v>
      </c>
      <c r="B22" s="348"/>
      <c r="C22" s="348"/>
      <c r="D22" s="355">
        <f>SUM(Urakkatunnit!H20)</f>
        <v>0</v>
      </c>
      <c r="E22" s="379"/>
      <c r="F22" s="356">
        <f t="shared" si="0"/>
        <v>0</v>
      </c>
      <c r="G22" s="357">
        <f>SUM(Urakkatunnit!I20)</f>
        <v>0</v>
      </c>
      <c r="H22" s="358">
        <f>SUM(Välipohjat!M17)</f>
        <v>0</v>
      </c>
      <c r="I22" s="359" t="e">
        <f t="shared" si="2"/>
        <v>#DIV/0!</v>
      </c>
      <c r="J22" s="358">
        <f t="shared" si="3"/>
        <v>0</v>
      </c>
      <c r="K22" s="360" t="e">
        <f t="shared" si="1"/>
        <v>#DIV/0!</v>
      </c>
      <c r="L22" s="264"/>
      <c r="M22" s="264"/>
    </row>
    <row r="23" spans="1:13" x14ac:dyDescent="0.2">
      <c r="A23" s="354">
        <f>Urakkatunnit!A21</f>
        <v>0</v>
      </c>
      <c r="B23" s="348"/>
      <c r="C23" s="348"/>
      <c r="D23" s="355">
        <f>SUM(Urakkatunnit!H21)</f>
        <v>0</v>
      </c>
      <c r="E23" s="379"/>
      <c r="F23" s="356">
        <f t="shared" si="0"/>
        <v>0</v>
      </c>
      <c r="G23" s="357">
        <f>SUM(Urakkatunnit!I21)</f>
        <v>0</v>
      </c>
      <c r="H23" s="358">
        <f>SUM(Välipohjat!M18)</f>
        <v>0</v>
      </c>
      <c r="I23" s="359" t="e">
        <f t="shared" si="2"/>
        <v>#DIV/0!</v>
      </c>
      <c r="J23" s="358">
        <f t="shared" si="3"/>
        <v>0</v>
      </c>
      <c r="K23" s="360" t="e">
        <f t="shared" si="1"/>
        <v>#DIV/0!</v>
      </c>
      <c r="L23" s="264"/>
      <c r="M23" s="264"/>
    </row>
    <row r="24" spans="1:13" x14ac:dyDescent="0.2">
      <c r="A24" s="354">
        <f>Urakkatunnit!A22</f>
        <v>0</v>
      </c>
      <c r="B24" s="348"/>
      <c r="C24" s="348"/>
      <c r="D24" s="355">
        <f>SUM(Urakkatunnit!H22)</f>
        <v>0</v>
      </c>
      <c r="E24" s="379"/>
      <c r="F24" s="356">
        <f t="shared" si="0"/>
        <v>0</v>
      </c>
      <c r="G24" s="357">
        <f>SUM(Urakkatunnit!I22)</f>
        <v>0</v>
      </c>
      <c r="H24" s="358">
        <f>SUM(Välipohjat!M19)</f>
        <v>0</v>
      </c>
      <c r="I24" s="359" t="e">
        <f t="shared" si="2"/>
        <v>#DIV/0!</v>
      </c>
      <c r="J24" s="358">
        <f t="shared" si="3"/>
        <v>0</v>
      </c>
      <c r="K24" s="360" t="e">
        <f t="shared" si="1"/>
        <v>#DIV/0!</v>
      </c>
      <c r="L24" s="264"/>
      <c r="M24" s="264"/>
    </row>
    <row r="25" spans="1:13" x14ac:dyDescent="0.2">
      <c r="A25" s="354">
        <f>Urakkatunnit!A23</f>
        <v>0</v>
      </c>
      <c r="B25" s="348"/>
      <c r="C25" s="348"/>
      <c r="D25" s="355">
        <f>SUM(Urakkatunnit!H23)</f>
        <v>0</v>
      </c>
      <c r="E25" s="379"/>
      <c r="F25" s="356">
        <f t="shared" si="0"/>
        <v>0</v>
      </c>
      <c r="G25" s="357">
        <f>SUM(Urakkatunnit!I23)</f>
        <v>0</v>
      </c>
      <c r="H25" s="358">
        <f>SUM(Välipohjat!M20)</f>
        <v>0</v>
      </c>
      <c r="I25" s="359" t="e">
        <f t="shared" si="2"/>
        <v>#DIV/0!</v>
      </c>
      <c r="J25" s="358">
        <f t="shared" si="3"/>
        <v>0</v>
      </c>
      <c r="K25" s="360" t="e">
        <f t="shared" si="1"/>
        <v>#DIV/0!</v>
      </c>
      <c r="L25" s="264"/>
      <c r="M25" s="264"/>
    </row>
    <row r="26" spans="1:13" x14ac:dyDescent="0.2">
      <c r="A26" s="462">
        <f>Urakkatunnit!A24</f>
        <v>0</v>
      </c>
      <c r="B26" s="342"/>
      <c r="C26" s="342"/>
      <c r="D26" s="463">
        <f>SUM(Urakkatunnit!H24)</f>
        <v>0</v>
      </c>
      <c r="E26" s="379"/>
      <c r="F26" s="464">
        <f t="shared" si="0"/>
        <v>0</v>
      </c>
      <c r="G26" s="465">
        <f>SUM(Urakkatunnit!I24)</f>
        <v>0</v>
      </c>
      <c r="H26" s="358">
        <f>SUM(Välipohjat!M21)</f>
        <v>0</v>
      </c>
      <c r="I26" s="467" t="e">
        <f t="shared" si="2"/>
        <v>#DIV/0!</v>
      </c>
      <c r="J26" s="466">
        <f t="shared" si="3"/>
        <v>0</v>
      </c>
      <c r="K26" s="468" t="e">
        <f t="shared" si="1"/>
        <v>#DIV/0!</v>
      </c>
      <c r="L26" s="264"/>
      <c r="M26" s="264"/>
    </row>
    <row r="27" spans="1:13" ht="25.5" customHeight="1" x14ac:dyDescent="0.2">
      <c r="A27" s="793" t="s">
        <v>516</v>
      </c>
      <c r="B27" s="794"/>
      <c r="C27" s="794"/>
      <c r="D27" s="794"/>
      <c r="E27" s="794"/>
      <c r="F27" s="794"/>
      <c r="G27" s="794"/>
      <c r="H27" s="794"/>
      <c r="I27" s="794"/>
      <c r="J27" s="794"/>
      <c r="K27" s="795"/>
    </row>
    <row r="28" spans="1:13" x14ac:dyDescent="0.2">
      <c r="A28" s="479">
        <f>Urakkatunnit!A26</f>
        <v>0</v>
      </c>
      <c r="B28" s="480"/>
      <c r="C28" s="480"/>
      <c r="D28" s="347">
        <f>SUM(Urakkatunnit!H26)</f>
        <v>0</v>
      </c>
      <c r="E28" s="469"/>
      <c r="F28" s="474">
        <f t="shared" si="0"/>
        <v>0</v>
      </c>
      <c r="G28" s="475">
        <f>SUM(Urakkatunnit!I26)</f>
        <v>0</v>
      </c>
      <c r="H28" s="476">
        <f>SUM(Välipohjat!M22)</f>
        <v>0</v>
      </c>
      <c r="I28" s="477" t="e">
        <f t="shared" si="2"/>
        <v>#DIV/0!</v>
      </c>
      <c r="J28" s="476">
        <f t="shared" si="3"/>
        <v>0</v>
      </c>
      <c r="K28" s="478" t="e">
        <f t="shared" si="1"/>
        <v>#DIV/0!</v>
      </c>
    </row>
    <row r="29" spans="1:13" x14ac:dyDescent="0.2">
      <c r="A29" s="354">
        <f>Urakkatunnit!A27</f>
        <v>0</v>
      </c>
      <c r="B29" s="271"/>
      <c r="C29" s="271"/>
      <c r="D29" s="355">
        <f>SUM(Urakkatunnit!H27)</f>
        <v>0</v>
      </c>
      <c r="E29" s="470"/>
      <c r="F29" s="356">
        <f t="shared" si="0"/>
        <v>0</v>
      </c>
      <c r="G29" s="357">
        <f>SUM(Urakkatunnit!I27)</f>
        <v>0</v>
      </c>
      <c r="H29" s="476">
        <f>SUM(Välipohjat!M23)</f>
        <v>0</v>
      </c>
      <c r="I29" s="359" t="e">
        <f t="shared" si="2"/>
        <v>#DIV/0!</v>
      </c>
      <c r="J29" s="358">
        <f t="shared" si="3"/>
        <v>0</v>
      </c>
      <c r="K29" s="360" t="e">
        <f t="shared" si="1"/>
        <v>#DIV/0!</v>
      </c>
    </row>
    <row r="30" spans="1:13" x14ac:dyDescent="0.2">
      <c r="A30" s="354">
        <f>Urakkatunnit!A28</f>
        <v>0</v>
      </c>
      <c r="B30" s="271"/>
      <c r="C30" s="271"/>
      <c r="D30" s="355">
        <f>SUM(Urakkatunnit!H28)</f>
        <v>0</v>
      </c>
      <c r="E30" s="470"/>
      <c r="F30" s="356">
        <f t="shared" si="0"/>
        <v>0</v>
      </c>
      <c r="G30" s="357">
        <f>SUM(Urakkatunnit!I28)</f>
        <v>0</v>
      </c>
      <c r="H30" s="476">
        <f>SUM(Välipohjat!M24)</f>
        <v>0</v>
      </c>
      <c r="I30" s="359" t="e">
        <f t="shared" si="2"/>
        <v>#DIV/0!</v>
      </c>
      <c r="J30" s="358">
        <f t="shared" si="3"/>
        <v>0</v>
      </c>
      <c r="K30" s="360" t="e">
        <f t="shared" si="1"/>
        <v>#DIV/0!</v>
      </c>
    </row>
    <row r="31" spans="1:13" x14ac:dyDescent="0.2">
      <c r="A31" s="354">
        <f>Urakkatunnit!A29</f>
        <v>0</v>
      </c>
      <c r="B31" s="481"/>
      <c r="C31" s="481"/>
      <c r="D31" s="355">
        <f>SUM(Urakkatunnit!H29)</f>
        <v>0</v>
      </c>
      <c r="E31" s="471"/>
      <c r="F31" s="356">
        <f t="shared" si="0"/>
        <v>0</v>
      </c>
      <c r="G31" s="357">
        <f>SUM(Urakkatunnit!I29)</f>
        <v>0</v>
      </c>
      <c r="H31" s="476">
        <f>SUM(Välipohjat!M25)</f>
        <v>0</v>
      </c>
      <c r="I31" s="359" t="e">
        <f t="shared" si="2"/>
        <v>#DIV/0!</v>
      </c>
      <c r="J31" s="358">
        <f t="shared" si="3"/>
        <v>0</v>
      </c>
      <c r="K31" s="360" t="e">
        <f t="shared" si="1"/>
        <v>#DIV/0!</v>
      </c>
    </row>
    <row r="32" spans="1:13" ht="12.75" customHeight="1" x14ac:dyDescent="0.2">
      <c r="A32" s="796" t="s">
        <v>462</v>
      </c>
      <c r="B32" s="797"/>
      <c r="C32" s="797"/>
      <c r="D32" s="797"/>
      <c r="E32" s="797"/>
      <c r="F32" s="797"/>
      <c r="G32" s="797"/>
      <c r="H32" s="797"/>
      <c r="I32" s="797"/>
      <c r="J32" s="797"/>
      <c r="K32" s="798"/>
    </row>
    <row r="33" spans="1:13" x14ac:dyDescent="0.2">
      <c r="A33" s="551">
        <f>Urakkatunnit!A31</f>
        <v>0</v>
      </c>
      <c r="B33" s="552"/>
      <c r="C33" s="552"/>
      <c r="D33" s="553">
        <f>SUM(Urakkatunnit!B31+Urakkatunnit!D31+Urakkatunnit!F31)</f>
        <v>0</v>
      </c>
      <c r="E33" s="554"/>
      <c r="F33" s="555"/>
      <c r="G33" s="556"/>
      <c r="H33" s="556"/>
      <c r="I33" s="264"/>
      <c r="J33" s="358">
        <f>SUM(Urakkatunnit!I31)</f>
        <v>0</v>
      </c>
      <c r="K33" s="557"/>
    </row>
    <row r="34" spans="1:13" x14ac:dyDescent="0.2">
      <c r="A34" s="551">
        <f>Urakkatunnit!A32</f>
        <v>0</v>
      </c>
      <c r="B34" s="481"/>
      <c r="C34" s="481"/>
      <c r="D34" s="553">
        <f>SUM(Urakkatunnit!B32+Urakkatunnit!D32+Urakkatunnit!F32)</f>
        <v>0</v>
      </c>
      <c r="E34" s="558"/>
      <c r="F34" s="464"/>
      <c r="G34" s="465"/>
      <c r="H34" s="465"/>
      <c r="I34" s="467"/>
      <c r="J34" s="358">
        <f>SUM(Urakkatunnit!I32)</f>
        <v>0</v>
      </c>
      <c r="K34" s="468"/>
    </row>
    <row r="35" spans="1:13" x14ac:dyDescent="0.2">
      <c r="A35" s="551">
        <f>Urakkatunnit!A33</f>
        <v>0</v>
      </c>
      <c r="B35" s="481"/>
      <c r="C35" s="481"/>
      <c r="D35" s="553">
        <f>SUM(Urakkatunnit!B33+Urakkatunnit!D33+Urakkatunnit!F33)</f>
        <v>0</v>
      </c>
      <c r="E35" s="558"/>
      <c r="F35" s="464"/>
      <c r="G35" s="465"/>
      <c r="H35" s="465"/>
      <c r="I35" s="467"/>
      <c r="J35" s="358">
        <f>SUM(Urakkatunnit!I33)</f>
        <v>0</v>
      </c>
      <c r="K35" s="468"/>
    </row>
    <row r="36" spans="1:13" ht="13.5" thickBot="1" x14ac:dyDescent="0.25">
      <c r="A36" s="551">
        <f>Urakkatunnit!A34</f>
        <v>0</v>
      </c>
      <c r="B36" s="271"/>
      <c r="C36" s="271"/>
      <c r="D36" s="553">
        <f>SUM(Urakkatunnit!B34+Urakkatunnit!D34+Urakkatunnit!F34)</f>
        <v>0</v>
      </c>
      <c r="E36" s="559"/>
      <c r="F36" s="358"/>
      <c r="G36" s="357"/>
      <c r="H36" s="357"/>
      <c r="I36" s="560"/>
      <c r="J36" s="358">
        <f>SUM(Urakkatunnit!I34)</f>
        <v>0</v>
      </c>
      <c r="K36" s="561"/>
    </row>
    <row r="37" spans="1:13" ht="13.5" thickBot="1" x14ac:dyDescent="0.25">
      <c r="D37" s="452">
        <f>SUM(D12:D31,D33:D36)</f>
        <v>0</v>
      </c>
      <c r="E37" s="448"/>
      <c r="F37" s="449">
        <f t="shared" ref="F37:K37" si="4">SUM(F12:F31)</f>
        <v>0</v>
      </c>
      <c r="G37" s="450">
        <f t="shared" si="4"/>
        <v>0</v>
      </c>
      <c r="H37" s="449">
        <f t="shared" si="4"/>
        <v>0</v>
      </c>
      <c r="I37" s="448" t="e">
        <f t="shared" si="4"/>
        <v>#DIV/0!</v>
      </c>
      <c r="J37" s="449">
        <f>SUM(J12:J31,J33:J36)</f>
        <v>0</v>
      </c>
      <c r="K37" s="451" t="e">
        <f t="shared" si="4"/>
        <v>#DIV/0!</v>
      </c>
      <c r="L37" s="362" t="e">
        <f>SUM(J37:K37)</f>
        <v>#DIV/0!</v>
      </c>
    </row>
    <row r="39" spans="1:13" x14ac:dyDescent="0.2">
      <c r="A39" s="147"/>
      <c r="B39" s="147"/>
      <c r="C39" s="147"/>
      <c r="D39" s="147"/>
      <c r="E39" s="264"/>
      <c r="F39" s="264"/>
      <c r="G39" s="264"/>
      <c r="H39" s="264"/>
      <c r="I39" s="264"/>
      <c r="J39" s="264"/>
      <c r="L39" s="147"/>
      <c r="M39" s="147"/>
    </row>
    <row r="40" spans="1:13" ht="25.5" customHeight="1" x14ac:dyDescent="0.2">
      <c r="K40" s="788"/>
      <c r="L40" s="788"/>
      <c r="M40" s="788"/>
    </row>
    <row r="41" spans="1:13" x14ac:dyDescent="0.2">
      <c r="A41" s="418"/>
      <c r="B41" s="147"/>
      <c r="C41" s="147"/>
      <c r="D41" s="147"/>
      <c r="E41" s="147"/>
      <c r="F41" s="147"/>
      <c r="G41" s="147"/>
      <c r="H41" s="147"/>
      <c r="I41" s="147"/>
      <c r="J41" s="147"/>
      <c r="K41" s="109" t="s">
        <v>238</v>
      </c>
    </row>
    <row r="42" spans="1:13" x14ac:dyDescent="0.2">
      <c r="A42" s="418" t="s">
        <v>453</v>
      </c>
      <c r="B42" s="147"/>
      <c r="C42" s="147"/>
      <c r="D42" s="147"/>
      <c r="E42" s="147"/>
      <c r="F42" s="147"/>
      <c r="G42" s="147"/>
      <c r="H42" s="147"/>
      <c r="I42" s="147"/>
      <c r="J42" s="147"/>
    </row>
    <row r="43" spans="1:13" x14ac:dyDescent="0.2">
      <c r="A43" s="147" t="s">
        <v>405</v>
      </c>
      <c r="B43" s="147"/>
      <c r="C43" s="147"/>
      <c r="D43" s="147"/>
      <c r="E43" s="147"/>
      <c r="F43" s="147"/>
      <c r="G43" s="147"/>
      <c r="H43" s="147"/>
      <c r="I43" s="147"/>
      <c r="J43" s="147"/>
    </row>
    <row r="44" spans="1:13" x14ac:dyDescent="0.2">
      <c r="A44" s="109" t="s">
        <v>357</v>
      </c>
    </row>
    <row r="45" spans="1:13" x14ac:dyDescent="0.2">
      <c r="A45" s="109" t="s">
        <v>358</v>
      </c>
    </row>
    <row r="46" spans="1:13" x14ac:dyDescent="0.2">
      <c r="A46" s="109" t="s">
        <v>359</v>
      </c>
    </row>
    <row r="47" spans="1:13" x14ac:dyDescent="0.2">
      <c r="A47" s="109" t="s">
        <v>360</v>
      </c>
    </row>
  </sheetData>
  <sheetProtection algorithmName="SHA-512" hashValue="lAsTX5msDRiG7e48b8n+Of3A1v5RVJ71dxG0Uf7QSs7VEEH9D1jyFVpNLylMRJVmDWahl4dtP6iDjssvnccIMw==" saltValue="ob9XswsO3XGJP/fbF9PEcQ==" spinCount="100000" sheet="1"/>
  <mergeCells count="9">
    <mergeCell ref="A2:M2"/>
    <mergeCell ref="D4:G4"/>
    <mergeCell ref="E10:E11"/>
    <mergeCell ref="D6:G6"/>
    <mergeCell ref="K40:M40"/>
    <mergeCell ref="D7:G7"/>
    <mergeCell ref="D8:G8"/>
    <mergeCell ref="A27:K27"/>
    <mergeCell ref="A32:K32"/>
  </mergeCells>
  <hyperlinks>
    <hyperlink ref="A1" location="Etusivu!A1" tooltip="Tästä pääset etusivulle" display="Etusivu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44"/>
  <sheetViews>
    <sheetView workbookViewId="0">
      <selection activeCell="B5" sqref="B5"/>
    </sheetView>
  </sheetViews>
  <sheetFormatPr defaultRowHeight="12.75" x14ac:dyDescent="0.2"/>
  <cols>
    <col min="1" max="1" width="7.42578125" customWidth="1"/>
    <col min="2" max="18" width="6.42578125" customWidth="1"/>
    <col min="19" max="19" width="8" customWidth="1"/>
    <col min="20" max="20" width="5.7109375" customWidth="1"/>
    <col min="21" max="21" width="8" customWidth="1"/>
    <col min="22" max="22" width="10.28515625" customWidth="1"/>
    <col min="23" max="23" width="7.28515625" customWidth="1"/>
    <col min="24" max="24" width="9.140625" customWidth="1"/>
  </cols>
  <sheetData>
    <row r="1" spans="1:48" ht="21" customHeight="1" x14ac:dyDescent="0.2">
      <c r="A1" s="109"/>
      <c r="B1" s="109"/>
      <c r="C1" s="109"/>
      <c r="D1" s="109"/>
      <c r="E1" s="109"/>
      <c r="F1" s="109"/>
      <c r="G1" s="109"/>
      <c r="H1" s="300"/>
      <c r="I1" s="109"/>
      <c r="J1" s="300"/>
      <c r="K1" s="300"/>
      <c r="L1" s="300"/>
      <c r="M1" s="300"/>
      <c r="N1" s="300"/>
      <c r="O1" s="109"/>
      <c r="P1" s="109"/>
      <c r="Q1" s="109"/>
      <c r="R1" s="300"/>
      <c r="S1" s="109"/>
      <c r="T1" s="300"/>
      <c r="U1" s="109"/>
      <c r="V1" s="109"/>
      <c r="W1" s="136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</row>
    <row r="2" spans="1:48" ht="33.75" thickBot="1" x14ac:dyDescent="0.5">
      <c r="A2" s="144" t="s">
        <v>227</v>
      </c>
      <c r="B2" s="143"/>
      <c r="C2" s="144" t="s">
        <v>73</v>
      </c>
      <c r="D2" s="143"/>
      <c r="E2" s="145"/>
      <c r="F2" s="145"/>
      <c r="G2" s="146"/>
      <c r="H2" s="132"/>
      <c r="I2" s="132"/>
      <c r="J2" s="132"/>
      <c r="K2" s="132"/>
      <c r="L2" s="132"/>
      <c r="M2" s="132"/>
      <c r="N2" s="132"/>
      <c r="O2" s="109"/>
      <c r="P2" s="109"/>
      <c r="Q2" s="109"/>
      <c r="R2" s="136"/>
      <c r="S2" s="109"/>
      <c r="T2" s="136"/>
      <c r="U2" s="141"/>
      <c r="V2" s="142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</row>
    <row r="3" spans="1:48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</row>
    <row r="4" spans="1:48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324" t="s">
        <v>221</v>
      </c>
      <c r="S4" s="109"/>
      <c r="T4" s="324" t="s">
        <v>286</v>
      </c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</row>
    <row r="5" spans="1:48" x14ac:dyDescent="0.2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</row>
    <row r="6" spans="1:48" ht="15.75" thickBot="1" x14ac:dyDescent="0.25">
      <c r="A6" s="138" t="s">
        <v>244</v>
      </c>
      <c r="B6" s="112"/>
      <c r="C6" s="112"/>
      <c r="D6" s="112"/>
      <c r="E6" s="112"/>
      <c r="F6" s="139"/>
      <c r="G6" s="112"/>
      <c r="H6" s="112"/>
      <c r="I6" s="109"/>
      <c r="J6" s="753"/>
      <c r="K6" s="753"/>
      <c r="L6" s="753"/>
      <c r="M6" s="753"/>
      <c r="N6" s="753"/>
      <c r="O6" s="753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</row>
    <row r="7" spans="1:48" x14ac:dyDescent="0.2">
      <c r="A7" s="109"/>
      <c r="B7" s="109" t="s">
        <v>239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</row>
    <row r="8" spans="1:48" x14ac:dyDescent="0.2">
      <c r="A8" s="99" t="s">
        <v>243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2" t="s">
        <v>520</v>
      </c>
      <c r="T8" s="684" t="s">
        <v>518</v>
      </c>
      <c r="U8" s="102" t="s">
        <v>519</v>
      </c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</row>
    <row r="9" spans="1:48" x14ac:dyDescent="0.2">
      <c r="A9" s="99">
        <v>-125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7"/>
      <c r="P9" s="307"/>
      <c r="Q9" s="307"/>
      <c r="R9" s="307"/>
      <c r="S9" s="102">
        <f t="shared" ref="S9:S18" si="0">SUM(B9:R9)</f>
        <v>0</v>
      </c>
      <c r="T9" s="308"/>
      <c r="U9" s="102">
        <f>S9-T9</f>
        <v>0</v>
      </c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</row>
    <row r="10" spans="1:48" x14ac:dyDescent="0.2">
      <c r="A10" s="99">
        <v>-200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102">
        <f t="shared" si="0"/>
        <v>0</v>
      </c>
      <c r="T10" s="308"/>
      <c r="U10" s="102">
        <f t="shared" ref="U10:U18" si="1">S10-T10</f>
        <v>0</v>
      </c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</row>
    <row r="11" spans="1:48" x14ac:dyDescent="0.2">
      <c r="A11" s="99">
        <v>250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102">
        <f t="shared" si="0"/>
        <v>0</v>
      </c>
      <c r="T11" s="308"/>
      <c r="U11" s="102">
        <f t="shared" si="1"/>
        <v>0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</row>
    <row r="12" spans="1:48" x14ac:dyDescent="0.2">
      <c r="A12" s="99">
        <v>315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102">
        <f t="shared" si="0"/>
        <v>0</v>
      </c>
      <c r="T12" s="308"/>
      <c r="U12" s="102">
        <f t="shared" si="1"/>
        <v>0</v>
      </c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</row>
    <row r="13" spans="1:48" x14ac:dyDescent="0.2">
      <c r="A13" s="99">
        <v>400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102">
        <f t="shared" si="0"/>
        <v>0</v>
      </c>
      <c r="T13" s="308"/>
      <c r="U13" s="102">
        <f t="shared" si="1"/>
        <v>0</v>
      </c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</row>
    <row r="14" spans="1:48" x14ac:dyDescent="0.2">
      <c r="A14" s="99">
        <v>500</v>
      </c>
      <c r="B14" s="307"/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102">
        <f t="shared" si="0"/>
        <v>0</v>
      </c>
      <c r="T14" s="308"/>
      <c r="U14" s="102">
        <f t="shared" si="1"/>
        <v>0</v>
      </c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</row>
    <row r="15" spans="1:48" x14ac:dyDescent="0.2">
      <c r="A15" s="99">
        <v>630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102">
        <f t="shared" si="0"/>
        <v>0</v>
      </c>
      <c r="T15" s="308"/>
      <c r="U15" s="102">
        <f t="shared" si="1"/>
        <v>0</v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</row>
    <row r="16" spans="1:48" x14ac:dyDescent="0.2">
      <c r="A16" s="99">
        <v>800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102">
        <f t="shared" si="0"/>
        <v>0</v>
      </c>
      <c r="T16" s="308"/>
      <c r="U16" s="102">
        <f t="shared" si="1"/>
        <v>0</v>
      </c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</row>
    <row r="17" spans="1:48" x14ac:dyDescent="0.2">
      <c r="A17" s="99">
        <v>1000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102">
        <f t="shared" si="0"/>
        <v>0</v>
      </c>
      <c r="T17" s="308"/>
      <c r="U17" s="102">
        <f t="shared" si="1"/>
        <v>0</v>
      </c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</row>
    <row r="18" spans="1:48" ht="14.25" customHeight="1" x14ac:dyDescent="0.2">
      <c r="A18" s="99">
        <v>1250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102">
        <f t="shared" si="0"/>
        <v>0</v>
      </c>
      <c r="T18" s="308"/>
      <c r="U18" s="102">
        <f t="shared" si="1"/>
        <v>0</v>
      </c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</row>
    <row r="19" spans="1:48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</row>
    <row r="20" spans="1:48" ht="11.25" customHeight="1" x14ac:dyDescent="0.2">
      <c r="A20" s="109"/>
      <c r="B20" s="109"/>
      <c r="C20" s="109"/>
      <c r="D20" s="109"/>
      <c r="E20" s="109"/>
      <c r="F20" s="109"/>
      <c r="G20" s="109"/>
      <c r="H20" s="300"/>
      <c r="I20" s="109"/>
      <c r="J20" s="300"/>
      <c r="K20" s="300"/>
      <c r="L20" s="300"/>
      <c r="M20" s="300"/>
      <c r="N20" s="300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</row>
    <row r="21" spans="1:48" ht="15" customHeight="1" x14ac:dyDescent="0.2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</row>
    <row r="22" spans="1:48" ht="15.75" customHeight="1" x14ac:dyDescent="0.2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</row>
    <row r="23" spans="1:48" ht="15.75" customHeight="1" thickBot="1" x14ac:dyDescent="0.25">
      <c r="A23" s="138" t="s">
        <v>245</v>
      </c>
      <c r="B23" s="112"/>
      <c r="C23" s="112"/>
      <c r="D23" s="112"/>
      <c r="E23" s="112"/>
      <c r="F23" s="139"/>
      <c r="G23" s="112"/>
      <c r="H23" s="112"/>
      <c r="I23" s="112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</row>
    <row r="24" spans="1:48" ht="15.75" customHeight="1" x14ac:dyDescent="0.2">
      <c r="A24" s="109"/>
      <c r="B24" s="109" t="s">
        <v>239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</row>
    <row r="25" spans="1:48" ht="15.75" customHeight="1" x14ac:dyDescent="0.2">
      <c r="A25" s="99" t="s">
        <v>243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2" t="s">
        <v>520</v>
      </c>
      <c r="T25" s="684" t="s">
        <v>518</v>
      </c>
      <c r="U25" s="102" t="s">
        <v>519</v>
      </c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</row>
    <row r="26" spans="1:48" ht="15.75" customHeight="1" x14ac:dyDescent="0.2">
      <c r="A26" s="99">
        <v>-125</v>
      </c>
      <c r="B26" s="306"/>
      <c r="C26" s="306" t="s">
        <v>67</v>
      </c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102">
        <f t="shared" ref="S26:S35" si="2">SUM(B26:R26)</f>
        <v>0</v>
      </c>
      <c r="T26" s="308"/>
      <c r="U26" s="102">
        <f>S26-T26</f>
        <v>0</v>
      </c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</row>
    <row r="27" spans="1:48" ht="15.75" customHeight="1" x14ac:dyDescent="0.2">
      <c r="A27" s="99">
        <v>-200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102">
        <f t="shared" si="2"/>
        <v>0</v>
      </c>
      <c r="T27" s="308"/>
      <c r="U27" s="102">
        <f t="shared" ref="U27:U35" si="3">S27-T27</f>
        <v>0</v>
      </c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</row>
    <row r="28" spans="1:48" ht="15.75" customHeight="1" x14ac:dyDescent="0.2">
      <c r="A28" s="99">
        <v>250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102">
        <f t="shared" si="2"/>
        <v>0</v>
      </c>
      <c r="T28" s="308"/>
      <c r="U28" s="102">
        <f t="shared" si="3"/>
        <v>0</v>
      </c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</row>
    <row r="29" spans="1:48" ht="15.75" customHeight="1" x14ac:dyDescent="0.2">
      <c r="A29" s="99">
        <v>315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102">
        <f t="shared" si="2"/>
        <v>0</v>
      </c>
      <c r="T29" s="308"/>
      <c r="U29" s="102">
        <f t="shared" si="3"/>
        <v>0</v>
      </c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</row>
    <row r="30" spans="1:48" ht="15.75" customHeight="1" x14ac:dyDescent="0.2">
      <c r="A30" s="99">
        <v>400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102">
        <f t="shared" si="2"/>
        <v>0</v>
      </c>
      <c r="T30" s="308"/>
      <c r="U30" s="102">
        <f t="shared" si="3"/>
        <v>0</v>
      </c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</row>
    <row r="31" spans="1:48" ht="15.75" customHeight="1" x14ac:dyDescent="0.2">
      <c r="A31" s="99">
        <v>500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102">
        <f t="shared" si="2"/>
        <v>0</v>
      </c>
      <c r="T31" s="308"/>
      <c r="U31" s="102">
        <f t="shared" si="3"/>
        <v>0</v>
      </c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</row>
    <row r="32" spans="1:48" x14ac:dyDescent="0.2">
      <c r="A32" s="99">
        <v>630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102">
        <f t="shared" si="2"/>
        <v>0</v>
      </c>
      <c r="T32" s="308"/>
      <c r="U32" s="102">
        <f t="shared" si="3"/>
        <v>0</v>
      </c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</row>
    <row r="33" spans="1:48" x14ac:dyDescent="0.2">
      <c r="A33" s="99">
        <v>800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102">
        <f t="shared" si="2"/>
        <v>0</v>
      </c>
      <c r="T33" s="308"/>
      <c r="U33" s="102">
        <f t="shared" si="3"/>
        <v>0</v>
      </c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</row>
    <row r="34" spans="1:48" x14ac:dyDescent="0.2">
      <c r="A34" s="99">
        <v>1000</v>
      </c>
      <c r="B34" s="307"/>
      <c r="C34" s="307"/>
      <c r="D34" s="307"/>
      <c r="E34" s="307"/>
      <c r="F34" s="307"/>
      <c r="G34" s="307"/>
      <c r="H34" s="309"/>
      <c r="I34" s="309"/>
      <c r="J34" s="307"/>
      <c r="K34" s="307"/>
      <c r="L34" s="307"/>
      <c r="M34" s="307"/>
      <c r="N34" s="307"/>
      <c r="O34" s="307"/>
      <c r="P34" s="307"/>
      <c r="Q34" s="307"/>
      <c r="R34" s="307"/>
      <c r="S34" s="102">
        <f t="shared" si="2"/>
        <v>0</v>
      </c>
      <c r="T34" s="308"/>
      <c r="U34" s="102">
        <f t="shared" si="3"/>
        <v>0</v>
      </c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</row>
    <row r="35" spans="1:48" x14ac:dyDescent="0.2">
      <c r="A35" s="99">
        <v>1250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102">
        <f t="shared" si="2"/>
        <v>0</v>
      </c>
      <c r="T35" s="308"/>
      <c r="U35" s="102">
        <f t="shared" si="3"/>
        <v>0</v>
      </c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</row>
    <row r="36" spans="1:48" x14ac:dyDescent="0.2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</row>
    <row r="37" spans="1:48" x14ac:dyDescent="0.2">
      <c r="A37" s="109"/>
      <c r="B37" s="109"/>
      <c r="C37" s="109"/>
      <c r="D37" s="109"/>
      <c r="E37" s="109"/>
      <c r="F37" s="109"/>
      <c r="G37" s="109"/>
      <c r="H37" s="300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</row>
    <row r="38" spans="1:48" x14ac:dyDescent="0.2">
      <c r="A38" s="109"/>
      <c r="B38" s="109"/>
      <c r="C38" s="109"/>
      <c r="D38" s="109"/>
      <c r="E38" s="109"/>
      <c r="F38" s="109"/>
      <c r="G38" s="109"/>
      <c r="H38" s="300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</row>
    <row r="39" spans="1:48" x14ac:dyDescent="0.2">
      <c r="A39" s="109"/>
      <c r="B39" s="109"/>
      <c r="C39" s="109"/>
      <c r="D39" s="109"/>
      <c r="E39" s="109"/>
      <c r="F39" s="109"/>
      <c r="G39" s="109"/>
      <c r="H39" s="300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</row>
    <row r="40" spans="1:48" x14ac:dyDescent="0.2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324" t="s">
        <v>221</v>
      </c>
      <c r="S40" s="109"/>
      <c r="T40" s="324" t="s">
        <v>286</v>
      </c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</row>
    <row r="41" spans="1:48" x14ac:dyDescent="0.2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</row>
    <row r="42" spans="1:48" ht="13.5" thickBot="1" x14ac:dyDescent="0.25">
      <c r="A42" s="140" t="s">
        <v>410</v>
      </c>
      <c r="B42" s="112"/>
      <c r="C42" s="112"/>
      <c r="D42" s="112"/>
      <c r="E42" s="112"/>
      <c r="F42" s="112"/>
      <c r="G42" s="112"/>
      <c r="H42" s="112"/>
      <c r="I42" s="112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</row>
    <row r="43" spans="1:48" x14ac:dyDescent="0.2">
      <c r="A43" s="109"/>
      <c r="B43" s="109" t="s">
        <v>239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</row>
    <row r="44" spans="1:48" x14ac:dyDescent="0.2">
      <c r="A44" s="99" t="s">
        <v>243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2" t="s">
        <v>520</v>
      </c>
      <c r="T44" s="684" t="s">
        <v>518</v>
      </c>
      <c r="U44" s="102" t="s">
        <v>519</v>
      </c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</row>
    <row r="45" spans="1:48" x14ac:dyDescent="0.2">
      <c r="A45" s="99">
        <v>-125</v>
      </c>
      <c r="B45" s="306"/>
      <c r="C45" s="306" t="s">
        <v>67</v>
      </c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102">
        <f t="shared" ref="S45:S54" si="4">SUM(B45:R45)</f>
        <v>0</v>
      </c>
      <c r="T45" s="308"/>
      <c r="U45" s="102">
        <f>S45-T45</f>
        <v>0</v>
      </c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</row>
    <row r="46" spans="1:48" x14ac:dyDescent="0.2">
      <c r="A46" s="99">
        <v>-200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102">
        <f t="shared" si="4"/>
        <v>0</v>
      </c>
      <c r="T46" s="308"/>
      <c r="U46" s="102">
        <f t="shared" ref="U46:U54" si="5">S46-T46</f>
        <v>0</v>
      </c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</row>
    <row r="47" spans="1:48" x14ac:dyDescent="0.2">
      <c r="A47" s="99">
        <v>250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102">
        <f t="shared" si="4"/>
        <v>0</v>
      </c>
      <c r="T47" s="308"/>
      <c r="U47" s="102">
        <f t="shared" si="5"/>
        <v>0</v>
      </c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</row>
    <row r="48" spans="1:48" x14ac:dyDescent="0.2">
      <c r="A48" s="99">
        <v>315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102">
        <f t="shared" si="4"/>
        <v>0</v>
      </c>
      <c r="T48" s="308"/>
      <c r="U48" s="102">
        <f t="shared" si="5"/>
        <v>0</v>
      </c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</row>
    <row r="49" spans="1:48" x14ac:dyDescent="0.2">
      <c r="A49" s="99">
        <v>400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102">
        <f t="shared" si="4"/>
        <v>0</v>
      </c>
      <c r="T49" s="308"/>
      <c r="U49" s="102">
        <f t="shared" si="5"/>
        <v>0</v>
      </c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</row>
    <row r="50" spans="1:48" x14ac:dyDescent="0.2">
      <c r="A50" s="99">
        <v>500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102">
        <f t="shared" si="4"/>
        <v>0</v>
      </c>
      <c r="T50" s="308"/>
      <c r="U50" s="102">
        <f t="shared" si="5"/>
        <v>0</v>
      </c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</row>
    <row r="51" spans="1:48" x14ac:dyDescent="0.2">
      <c r="A51" s="99">
        <v>630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102">
        <f t="shared" si="4"/>
        <v>0</v>
      </c>
      <c r="T51" s="308"/>
      <c r="U51" s="102">
        <f t="shared" si="5"/>
        <v>0</v>
      </c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</row>
    <row r="52" spans="1:48" x14ac:dyDescent="0.2">
      <c r="A52" s="99">
        <v>800</v>
      </c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102">
        <f t="shared" si="4"/>
        <v>0</v>
      </c>
      <c r="T52" s="308"/>
      <c r="U52" s="102">
        <f t="shared" si="5"/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</row>
    <row r="53" spans="1:48" x14ac:dyDescent="0.2">
      <c r="A53" s="99">
        <v>1000</v>
      </c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102">
        <f t="shared" si="4"/>
        <v>0</v>
      </c>
      <c r="T53" s="308"/>
      <c r="U53" s="102">
        <f t="shared" si="5"/>
        <v>0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</row>
    <row r="54" spans="1:48" x14ac:dyDescent="0.2">
      <c r="A54" s="99">
        <v>1250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102">
        <f t="shared" si="4"/>
        <v>0</v>
      </c>
      <c r="T54" s="308"/>
      <c r="U54" s="102">
        <f t="shared" si="5"/>
        <v>0</v>
      </c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</row>
    <row r="55" spans="1:48" ht="12.75" customHeight="1" x14ac:dyDescent="0.2">
      <c r="A55" s="109"/>
      <c r="B55" s="109"/>
      <c r="C55" s="109"/>
      <c r="D55" s="109"/>
      <c r="E55" s="109"/>
      <c r="F55" s="631"/>
      <c r="G55" s="631"/>
      <c r="H55" s="631"/>
      <c r="I55" s="631"/>
      <c r="J55" s="631"/>
      <c r="K55" s="631"/>
      <c r="L55" s="631"/>
      <c r="M55" s="631"/>
      <c r="N55" s="631"/>
      <c r="O55" s="631"/>
      <c r="P55" s="631"/>
      <c r="Q55" s="631"/>
      <c r="R55" s="631"/>
      <c r="S55" s="631"/>
      <c r="T55" s="631"/>
      <c r="U55" s="631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</row>
    <row r="56" spans="1:48" ht="13.5" customHeight="1" thickBot="1" x14ac:dyDescent="0.25">
      <c r="A56" s="140" t="s">
        <v>493</v>
      </c>
      <c r="B56" s="112"/>
      <c r="C56" s="112"/>
      <c r="D56" s="112"/>
      <c r="E56" s="112"/>
      <c r="F56" s="634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632"/>
      <c r="U56" s="632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</row>
    <row r="57" spans="1:48" x14ac:dyDescent="0.2">
      <c r="A57" s="109"/>
      <c r="B57" s="109" t="s">
        <v>239</v>
      </c>
      <c r="C57" s="109"/>
      <c r="D57" s="109"/>
      <c r="E57" s="147"/>
      <c r="G57" s="633" t="s">
        <v>494</v>
      </c>
      <c r="H57" s="633"/>
      <c r="I57" s="633"/>
      <c r="J57" s="633"/>
      <c r="K57" s="633"/>
      <c r="L57" s="633"/>
      <c r="M57" s="633"/>
      <c r="N57" s="633"/>
      <c r="O57" s="633"/>
      <c r="P57" s="633"/>
      <c r="Q57" s="633"/>
      <c r="R57" s="633"/>
      <c r="S57" s="633"/>
      <c r="T57" s="633"/>
      <c r="U57" s="633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</row>
    <row r="58" spans="1:48" x14ac:dyDescent="0.2">
      <c r="A58" s="99" t="s">
        <v>243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2" t="s">
        <v>520</v>
      </c>
      <c r="T58" s="684" t="s">
        <v>518</v>
      </c>
      <c r="U58" s="102" t="s">
        <v>519</v>
      </c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</row>
    <row r="59" spans="1:48" x14ac:dyDescent="0.2">
      <c r="A59" s="99">
        <v>-125</v>
      </c>
      <c r="B59" s="306"/>
      <c r="C59" s="306" t="s">
        <v>67</v>
      </c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307"/>
      <c r="O59" s="307"/>
      <c r="P59" s="307"/>
      <c r="Q59" s="307"/>
      <c r="R59" s="307"/>
      <c r="S59" s="102">
        <f t="shared" ref="S59:S68" si="6">SUM(B59:R59)</f>
        <v>0</v>
      </c>
      <c r="T59" s="308"/>
      <c r="U59" s="102">
        <f>S59-T59</f>
        <v>0</v>
      </c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</row>
    <row r="60" spans="1:48" x14ac:dyDescent="0.2">
      <c r="A60" s="99">
        <v>-200</v>
      </c>
      <c r="B60" s="307"/>
      <c r="C60" s="307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102">
        <f t="shared" si="6"/>
        <v>0</v>
      </c>
      <c r="T60" s="308"/>
      <c r="U60" s="102">
        <f t="shared" ref="U60:U68" si="7">S60-T60</f>
        <v>0</v>
      </c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</row>
    <row r="61" spans="1:48" x14ac:dyDescent="0.2">
      <c r="A61" s="99">
        <v>250</v>
      </c>
      <c r="B61" s="307"/>
      <c r="C61" s="307"/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102">
        <f t="shared" si="6"/>
        <v>0</v>
      </c>
      <c r="T61" s="308"/>
      <c r="U61" s="102">
        <f t="shared" si="7"/>
        <v>0</v>
      </c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</row>
    <row r="62" spans="1:48" x14ac:dyDescent="0.2">
      <c r="A62" s="99">
        <v>315</v>
      </c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102">
        <f t="shared" si="6"/>
        <v>0</v>
      </c>
      <c r="T62" s="308"/>
      <c r="U62" s="102">
        <f t="shared" si="7"/>
        <v>0</v>
      </c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</row>
    <row r="63" spans="1:48" x14ac:dyDescent="0.2">
      <c r="A63" s="99">
        <v>400</v>
      </c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102">
        <f t="shared" si="6"/>
        <v>0</v>
      </c>
      <c r="T63" s="308"/>
      <c r="U63" s="102">
        <f t="shared" si="7"/>
        <v>0</v>
      </c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</row>
    <row r="64" spans="1:48" x14ac:dyDescent="0.2">
      <c r="A64" s="99">
        <v>500</v>
      </c>
      <c r="B64" s="307"/>
      <c r="C64" s="307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102">
        <f t="shared" si="6"/>
        <v>0</v>
      </c>
      <c r="T64" s="308"/>
      <c r="U64" s="102">
        <f t="shared" si="7"/>
        <v>0</v>
      </c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</row>
    <row r="65" spans="1:48" x14ac:dyDescent="0.2">
      <c r="A65" s="99">
        <v>630</v>
      </c>
      <c r="B65" s="307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102">
        <f t="shared" si="6"/>
        <v>0</v>
      </c>
      <c r="T65" s="308"/>
      <c r="U65" s="102">
        <f t="shared" si="7"/>
        <v>0</v>
      </c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</row>
    <row r="66" spans="1:48" x14ac:dyDescent="0.2">
      <c r="A66" s="99">
        <v>800</v>
      </c>
      <c r="B66" s="307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102">
        <f t="shared" si="6"/>
        <v>0</v>
      </c>
      <c r="T66" s="308"/>
      <c r="U66" s="102">
        <f t="shared" si="7"/>
        <v>0</v>
      </c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</row>
    <row r="67" spans="1:48" x14ac:dyDescent="0.2">
      <c r="A67" s="99">
        <v>1000</v>
      </c>
      <c r="B67" s="307"/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121">
        <f t="shared" si="6"/>
        <v>0</v>
      </c>
      <c r="T67" s="308"/>
      <c r="U67" s="121">
        <f>SUM(S67-T67)</f>
        <v>0</v>
      </c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</row>
    <row r="68" spans="1:48" x14ac:dyDescent="0.2">
      <c r="A68" s="99">
        <v>1250</v>
      </c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102">
        <f t="shared" si="6"/>
        <v>0</v>
      </c>
      <c r="T68" s="308"/>
      <c r="U68" s="102">
        <f t="shared" si="7"/>
        <v>0</v>
      </c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</row>
    <row r="69" spans="1:48" x14ac:dyDescent="0.2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</row>
    <row r="70" spans="1:48" ht="13.5" thickBot="1" x14ac:dyDescent="0.25">
      <c r="A70" s="140" t="s">
        <v>514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09"/>
      <c r="Q70" s="109"/>
      <c r="R70" s="324"/>
      <c r="S70" s="109"/>
      <c r="T70" s="324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</row>
    <row r="71" spans="1:48" x14ac:dyDescent="0.2">
      <c r="A71" s="109"/>
      <c r="B71" s="109" t="s">
        <v>239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</row>
    <row r="72" spans="1:48" x14ac:dyDescent="0.2">
      <c r="A72" s="99" t="s">
        <v>243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2" t="s">
        <v>520</v>
      </c>
      <c r="T72" s="684" t="s">
        <v>518</v>
      </c>
      <c r="U72" s="102" t="s">
        <v>519</v>
      </c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</row>
    <row r="73" spans="1:48" x14ac:dyDescent="0.2">
      <c r="A73" s="99">
        <v>-125</v>
      </c>
      <c r="B73" s="306"/>
      <c r="C73" s="306" t="s">
        <v>67</v>
      </c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102">
        <f t="shared" ref="S73:S82" si="8">SUM(B73:R73)</f>
        <v>0</v>
      </c>
      <c r="T73" s="308"/>
      <c r="U73" s="102">
        <f>S73-T73</f>
        <v>0</v>
      </c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</row>
    <row r="74" spans="1:48" x14ac:dyDescent="0.2">
      <c r="A74" s="99">
        <v>-200</v>
      </c>
      <c r="B74" s="307"/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102">
        <f t="shared" si="8"/>
        <v>0</v>
      </c>
      <c r="T74" s="308"/>
      <c r="U74" s="102">
        <f t="shared" ref="U74:U82" si="9">S74-T74</f>
        <v>0</v>
      </c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</row>
    <row r="75" spans="1:48" x14ac:dyDescent="0.2">
      <c r="A75" s="99">
        <v>250</v>
      </c>
      <c r="B75" s="307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102">
        <f t="shared" si="8"/>
        <v>0</v>
      </c>
      <c r="T75" s="308"/>
      <c r="U75" s="102">
        <f t="shared" si="9"/>
        <v>0</v>
      </c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</row>
    <row r="76" spans="1:48" x14ac:dyDescent="0.2">
      <c r="A76" s="99">
        <v>315</v>
      </c>
      <c r="B76" s="307"/>
      <c r="C76" s="307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102">
        <f t="shared" si="8"/>
        <v>0</v>
      </c>
      <c r="T76" s="308"/>
      <c r="U76" s="102">
        <f t="shared" si="9"/>
        <v>0</v>
      </c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</row>
    <row r="77" spans="1:48" x14ac:dyDescent="0.2">
      <c r="A77" s="99">
        <v>400</v>
      </c>
      <c r="B77" s="307"/>
      <c r="C77" s="307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102">
        <f t="shared" si="8"/>
        <v>0</v>
      </c>
      <c r="T77" s="308"/>
      <c r="U77" s="102">
        <f t="shared" si="9"/>
        <v>0</v>
      </c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</row>
    <row r="78" spans="1:48" x14ac:dyDescent="0.2">
      <c r="A78" s="99">
        <v>500</v>
      </c>
      <c r="B78" s="307"/>
      <c r="C78" s="307"/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102">
        <f t="shared" si="8"/>
        <v>0</v>
      </c>
      <c r="T78" s="308"/>
      <c r="U78" s="102">
        <f t="shared" si="9"/>
        <v>0</v>
      </c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</row>
    <row r="79" spans="1:48" x14ac:dyDescent="0.2">
      <c r="A79" s="99">
        <v>630</v>
      </c>
      <c r="B79" s="307"/>
      <c r="C79" s="307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102">
        <f t="shared" si="8"/>
        <v>0</v>
      </c>
      <c r="T79" s="308"/>
      <c r="U79" s="102">
        <f t="shared" si="9"/>
        <v>0</v>
      </c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</row>
    <row r="80" spans="1:48" x14ac:dyDescent="0.2">
      <c r="A80" s="99">
        <v>800</v>
      </c>
      <c r="B80" s="307"/>
      <c r="C80" s="307"/>
      <c r="D80" s="307"/>
      <c r="E80" s="307"/>
      <c r="F80" s="307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102">
        <f t="shared" si="8"/>
        <v>0</v>
      </c>
      <c r="T80" s="308"/>
      <c r="U80" s="102">
        <f t="shared" si="9"/>
        <v>0</v>
      </c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</row>
    <row r="81" spans="1:48" x14ac:dyDescent="0.2">
      <c r="A81" s="99">
        <v>1000</v>
      </c>
      <c r="B81" s="307"/>
      <c r="C81" s="307"/>
      <c r="D81" s="307"/>
      <c r="E81" s="307"/>
      <c r="F81" s="307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102">
        <f t="shared" si="8"/>
        <v>0</v>
      </c>
      <c r="T81" s="308"/>
      <c r="U81" s="102">
        <f t="shared" si="9"/>
        <v>0</v>
      </c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</row>
    <row r="82" spans="1:48" x14ac:dyDescent="0.2">
      <c r="A82" s="99">
        <v>1250</v>
      </c>
      <c r="B82" s="307"/>
      <c r="C82" s="307"/>
      <c r="D82" s="307"/>
      <c r="E82" s="307"/>
      <c r="F82" s="307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102">
        <f t="shared" si="8"/>
        <v>0</v>
      </c>
      <c r="T82" s="308"/>
      <c r="U82" s="102">
        <f t="shared" si="9"/>
        <v>0</v>
      </c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</row>
    <row r="83" spans="1:48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</row>
    <row r="84" spans="1:48" ht="13.5" thickBot="1" x14ac:dyDescent="0.25">
      <c r="A84" s="140" t="s">
        <v>246</v>
      </c>
      <c r="B84" s="112"/>
      <c r="C84" s="112"/>
      <c r="D84" s="112"/>
      <c r="E84" s="112"/>
      <c r="F84" s="112"/>
      <c r="G84" s="112"/>
      <c r="H84" s="112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</row>
    <row r="85" spans="1:48" x14ac:dyDescent="0.2">
      <c r="A85" s="109"/>
      <c r="B85" s="109" t="s">
        <v>239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</row>
    <row r="86" spans="1:48" x14ac:dyDescent="0.2">
      <c r="A86" s="99" t="s">
        <v>243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2" t="s">
        <v>520</v>
      </c>
      <c r="T86" s="684" t="s">
        <v>518</v>
      </c>
      <c r="U86" s="102" t="s">
        <v>519</v>
      </c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</row>
    <row r="87" spans="1:48" x14ac:dyDescent="0.2">
      <c r="A87" s="99">
        <v>-125</v>
      </c>
      <c r="B87" s="306"/>
      <c r="C87" s="306" t="s">
        <v>67</v>
      </c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102">
        <f t="shared" ref="S87:S96" si="10">SUM(B87:R87)</f>
        <v>0</v>
      </c>
      <c r="T87" s="308"/>
      <c r="U87" s="102">
        <f>S87-T87</f>
        <v>0</v>
      </c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</row>
    <row r="88" spans="1:48" x14ac:dyDescent="0.2">
      <c r="A88" s="99">
        <v>-200</v>
      </c>
      <c r="B88" s="307"/>
      <c r="C88" s="307"/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102">
        <f t="shared" si="10"/>
        <v>0</v>
      </c>
      <c r="T88" s="308"/>
      <c r="U88" s="102">
        <f t="shared" ref="U88:U96" si="11">S88-T88</f>
        <v>0</v>
      </c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</row>
    <row r="89" spans="1:48" x14ac:dyDescent="0.2">
      <c r="A89" s="99">
        <v>250</v>
      </c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102">
        <f t="shared" si="10"/>
        <v>0</v>
      </c>
      <c r="T89" s="308"/>
      <c r="U89" s="102">
        <f t="shared" si="11"/>
        <v>0</v>
      </c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</row>
    <row r="90" spans="1:48" x14ac:dyDescent="0.2">
      <c r="A90" s="99">
        <v>315</v>
      </c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102">
        <f t="shared" si="10"/>
        <v>0</v>
      </c>
      <c r="T90" s="308"/>
      <c r="U90" s="102">
        <f t="shared" si="11"/>
        <v>0</v>
      </c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</row>
    <row r="91" spans="1:48" x14ac:dyDescent="0.2">
      <c r="A91" s="99">
        <v>400</v>
      </c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102">
        <f t="shared" si="10"/>
        <v>0</v>
      </c>
      <c r="T91" s="308"/>
      <c r="U91" s="102">
        <f t="shared" si="11"/>
        <v>0</v>
      </c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</row>
    <row r="92" spans="1:48" x14ac:dyDescent="0.2">
      <c r="A92" s="99">
        <v>500</v>
      </c>
      <c r="B92" s="307"/>
      <c r="C92" s="307"/>
      <c r="D92" s="307"/>
      <c r="E92" s="307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102">
        <f t="shared" si="10"/>
        <v>0</v>
      </c>
      <c r="T92" s="308"/>
      <c r="U92" s="102">
        <f t="shared" si="11"/>
        <v>0</v>
      </c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</row>
    <row r="93" spans="1:48" x14ac:dyDescent="0.2">
      <c r="A93" s="99">
        <v>630</v>
      </c>
      <c r="B93" s="307"/>
      <c r="C93" s="307"/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307"/>
      <c r="S93" s="102">
        <f t="shared" si="10"/>
        <v>0</v>
      </c>
      <c r="T93" s="308"/>
      <c r="U93" s="102">
        <f t="shared" si="11"/>
        <v>0</v>
      </c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</row>
    <row r="94" spans="1:48" x14ac:dyDescent="0.2">
      <c r="A94" s="99">
        <v>800</v>
      </c>
      <c r="B94" s="307"/>
      <c r="C94" s="307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102">
        <f t="shared" si="10"/>
        <v>0</v>
      </c>
      <c r="T94" s="308"/>
      <c r="U94" s="102">
        <f t="shared" si="11"/>
        <v>0</v>
      </c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</row>
    <row r="95" spans="1:48" x14ac:dyDescent="0.2">
      <c r="A95" s="99">
        <v>1000</v>
      </c>
      <c r="B95" s="307"/>
      <c r="C95" s="307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102">
        <f t="shared" si="10"/>
        <v>0</v>
      </c>
      <c r="T95" s="308"/>
      <c r="U95" s="102">
        <f t="shared" si="11"/>
        <v>0</v>
      </c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</row>
    <row r="96" spans="1:48" x14ac:dyDescent="0.2">
      <c r="A96" s="99">
        <v>1250</v>
      </c>
      <c r="B96" s="307"/>
      <c r="C96" s="307"/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102">
        <f t="shared" si="10"/>
        <v>0</v>
      </c>
      <c r="T96" s="308"/>
      <c r="U96" s="102">
        <f t="shared" si="11"/>
        <v>0</v>
      </c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</row>
    <row r="97" spans="1:48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</row>
    <row r="98" spans="1:48" ht="13.5" thickBot="1" x14ac:dyDescent="0.25">
      <c r="A98" s="140" t="s">
        <v>248</v>
      </c>
      <c r="B98" s="112"/>
      <c r="C98" s="112"/>
      <c r="D98" s="112"/>
      <c r="E98" s="112"/>
      <c r="F98" s="112"/>
      <c r="G98" s="112"/>
      <c r="H98" s="112"/>
      <c r="I98" s="112"/>
      <c r="J98" s="109"/>
      <c r="K98" s="109"/>
      <c r="L98" s="109"/>
      <c r="M98" s="109"/>
      <c r="N98" s="109"/>
      <c r="O98" s="109"/>
      <c r="P98" s="109"/>
      <c r="Q98" s="109"/>
      <c r="R98" s="324" t="s">
        <v>221</v>
      </c>
      <c r="S98" s="109"/>
      <c r="T98" s="324" t="s">
        <v>286</v>
      </c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</row>
    <row r="99" spans="1:48" x14ac:dyDescent="0.2">
      <c r="A99" s="109"/>
      <c r="B99" s="109" t="s">
        <v>239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</row>
    <row r="100" spans="1:48" x14ac:dyDescent="0.2">
      <c r="A100" s="99" t="s">
        <v>243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2" t="s">
        <v>520</v>
      </c>
      <c r="T100" s="684" t="s">
        <v>518</v>
      </c>
      <c r="U100" s="102" t="s">
        <v>519</v>
      </c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</row>
    <row r="101" spans="1:48" x14ac:dyDescent="0.2">
      <c r="A101" s="99">
        <v>-125</v>
      </c>
      <c r="B101" s="306"/>
      <c r="C101" s="306" t="s">
        <v>67</v>
      </c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102">
        <f t="shared" ref="S101:S110" si="12">SUM(B101:R101)</f>
        <v>0</v>
      </c>
      <c r="T101" s="308"/>
      <c r="U101" s="102">
        <f>S101-T101</f>
        <v>0</v>
      </c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</row>
    <row r="102" spans="1:48" x14ac:dyDescent="0.2">
      <c r="A102" s="99">
        <v>-200</v>
      </c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102">
        <f t="shared" si="12"/>
        <v>0</v>
      </c>
      <c r="T102" s="308"/>
      <c r="U102" s="102">
        <f t="shared" ref="U102:U110" si="13">S102-T102</f>
        <v>0</v>
      </c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</row>
    <row r="103" spans="1:48" x14ac:dyDescent="0.2">
      <c r="A103" s="99">
        <v>250</v>
      </c>
      <c r="B103" s="30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102">
        <f t="shared" si="12"/>
        <v>0</v>
      </c>
      <c r="T103" s="308"/>
      <c r="U103" s="102">
        <f t="shared" si="13"/>
        <v>0</v>
      </c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</row>
    <row r="104" spans="1:48" x14ac:dyDescent="0.2">
      <c r="A104" s="99">
        <v>315</v>
      </c>
      <c r="B104" s="307"/>
      <c r="C104" s="307"/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102">
        <f t="shared" si="12"/>
        <v>0</v>
      </c>
      <c r="T104" s="308"/>
      <c r="U104" s="102">
        <f t="shared" si="13"/>
        <v>0</v>
      </c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</row>
    <row r="105" spans="1:48" x14ac:dyDescent="0.2">
      <c r="A105" s="99">
        <v>400</v>
      </c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102">
        <f t="shared" si="12"/>
        <v>0</v>
      </c>
      <c r="T105" s="308"/>
      <c r="U105" s="102">
        <f t="shared" si="13"/>
        <v>0</v>
      </c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</row>
    <row r="106" spans="1:48" x14ac:dyDescent="0.2">
      <c r="A106" s="99">
        <v>500</v>
      </c>
      <c r="B106" s="307"/>
      <c r="C106" s="307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102">
        <f t="shared" si="12"/>
        <v>0</v>
      </c>
      <c r="T106" s="308"/>
      <c r="U106" s="102">
        <f t="shared" si="13"/>
        <v>0</v>
      </c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</row>
    <row r="107" spans="1:48" x14ac:dyDescent="0.2">
      <c r="A107" s="99">
        <v>630</v>
      </c>
      <c r="B107" s="307"/>
      <c r="C107" s="307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102">
        <f t="shared" si="12"/>
        <v>0</v>
      </c>
      <c r="T107" s="308"/>
      <c r="U107" s="102">
        <f t="shared" si="13"/>
        <v>0</v>
      </c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</row>
    <row r="108" spans="1:48" x14ac:dyDescent="0.2">
      <c r="A108" s="99">
        <v>800</v>
      </c>
      <c r="B108" s="307"/>
      <c r="C108" s="307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102">
        <f t="shared" si="12"/>
        <v>0</v>
      </c>
      <c r="T108" s="308"/>
      <c r="U108" s="102">
        <f t="shared" si="13"/>
        <v>0</v>
      </c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</row>
    <row r="109" spans="1:48" x14ac:dyDescent="0.2">
      <c r="A109" s="99">
        <v>1000</v>
      </c>
      <c r="B109" s="307"/>
      <c r="C109" s="307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102">
        <f t="shared" si="12"/>
        <v>0</v>
      </c>
      <c r="T109" s="308"/>
      <c r="U109" s="102">
        <f t="shared" si="13"/>
        <v>0</v>
      </c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</row>
    <row r="110" spans="1:48" x14ac:dyDescent="0.2">
      <c r="A110" s="99">
        <v>1250</v>
      </c>
      <c r="B110" s="307"/>
      <c r="C110" s="307"/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  <c r="S110" s="102">
        <f t="shared" si="12"/>
        <v>0</v>
      </c>
      <c r="T110" s="308"/>
      <c r="U110" s="102">
        <f t="shared" si="13"/>
        <v>0</v>
      </c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</row>
    <row r="111" spans="1:48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</row>
    <row r="112" spans="1:48" ht="13.5" thickBot="1" x14ac:dyDescent="0.25">
      <c r="A112" s="140" t="s">
        <v>249</v>
      </c>
      <c r="B112" s="112"/>
      <c r="C112" s="112"/>
      <c r="D112" s="112"/>
      <c r="E112" s="112"/>
      <c r="F112" s="112"/>
      <c r="G112" s="112"/>
      <c r="H112" s="112"/>
      <c r="I112" s="112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</row>
    <row r="113" spans="1:48" x14ac:dyDescent="0.2">
      <c r="A113" s="109"/>
      <c r="B113" s="109" t="s">
        <v>239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</row>
    <row r="114" spans="1:48" x14ac:dyDescent="0.2">
      <c r="A114" s="99" t="s">
        <v>243</v>
      </c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2" t="s">
        <v>520</v>
      </c>
      <c r="T114" s="684" t="s">
        <v>518</v>
      </c>
      <c r="U114" s="102" t="s">
        <v>519</v>
      </c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</row>
    <row r="115" spans="1:48" x14ac:dyDescent="0.2">
      <c r="A115" s="99">
        <v>-125</v>
      </c>
      <c r="B115" s="306"/>
      <c r="C115" s="306" t="s">
        <v>67</v>
      </c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102">
        <f t="shared" ref="S115:S124" si="14">SUM(B115:R115)</f>
        <v>0</v>
      </c>
      <c r="T115" s="308"/>
      <c r="U115" s="102">
        <f>S115-T115</f>
        <v>0</v>
      </c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</row>
    <row r="116" spans="1:48" x14ac:dyDescent="0.2">
      <c r="A116" s="99">
        <v>-200</v>
      </c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102">
        <f t="shared" si="14"/>
        <v>0</v>
      </c>
      <c r="T116" s="308"/>
      <c r="U116" s="102">
        <f t="shared" ref="U116:U124" si="15">S116-T116</f>
        <v>0</v>
      </c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</row>
    <row r="117" spans="1:48" x14ac:dyDescent="0.2">
      <c r="A117" s="99">
        <v>250</v>
      </c>
      <c r="B117" s="307"/>
      <c r="C117" s="307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102">
        <f t="shared" si="14"/>
        <v>0</v>
      </c>
      <c r="T117" s="308"/>
      <c r="U117" s="102">
        <f t="shared" si="15"/>
        <v>0</v>
      </c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</row>
    <row r="118" spans="1:48" x14ac:dyDescent="0.2">
      <c r="A118" s="99">
        <v>315</v>
      </c>
      <c r="B118" s="307"/>
      <c r="C118" s="307"/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  <c r="S118" s="102">
        <f t="shared" si="14"/>
        <v>0</v>
      </c>
      <c r="T118" s="308"/>
      <c r="U118" s="102">
        <f t="shared" si="15"/>
        <v>0</v>
      </c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</row>
    <row r="119" spans="1:48" x14ac:dyDescent="0.2">
      <c r="A119" s="99">
        <v>400</v>
      </c>
      <c r="B119" s="307"/>
      <c r="C119" s="307"/>
      <c r="D119" s="307"/>
      <c r="E119" s="307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  <c r="R119" s="307"/>
      <c r="S119" s="102">
        <f t="shared" si="14"/>
        <v>0</v>
      </c>
      <c r="T119" s="308"/>
      <c r="U119" s="102">
        <f t="shared" si="15"/>
        <v>0</v>
      </c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</row>
    <row r="120" spans="1:48" x14ac:dyDescent="0.2">
      <c r="A120" s="99">
        <v>500</v>
      </c>
      <c r="B120" s="307"/>
      <c r="C120" s="307"/>
      <c r="D120" s="307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7"/>
      <c r="R120" s="307"/>
      <c r="S120" s="102">
        <f t="shared" si="14"/>
        <v>0</v>
      </c>
      <c r="T120" s="308"/>
      <c r="U120" s="102">
        <f t="shared" si="15"/>
        <v>0</v>
      </c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</row>
    <row r="121" spans="1:48" x14ac:dyDescent="0.2">
      <c r="A121" s="99">
        <v>630</v>
      </c>
      <c r="B121" s="307"/>
      <c r="C121" s="307"/>
      <c r="D121" s="307"/>
      <c r="E121" s="307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7"/>
      <c r="R121" s="307"/>
      <c r="S121" s="102">
        <f t="shared" si="14"/>
        <v>0</v>
      </c>
      <c r="T121" s="308"/>
      <c r="U121" s="102">
        <f t="shared" si="15"/>
        <v>0</v>
      </c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</row>
    <row r="122" spans="1:48" x14ac:dyDescent="0.2">
      <c r="A122" s="99">
        <v>800</v>
      </c>
      <c r="B122" s="307"/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  <c r="R122" s="307"/>
      <c r="S122" s="102">
        <f t="shared" si="14"/>
        <v>0</v>
      </c>
      <c r="T122" s="308"/>
      <c r="U122" s="102">
        <f t="shared" si="15"/>
        <v>0</v>
      </c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</row>
    <row r="123" spans="1:48" x14ac:dyDescent="0.2">
      <c r="A123" s="99">
        <v>1000</v>
      </c>
      <c r="B123" s="307"/>
      <c r="C123" s="307"/>
      <c r="D123" s="307"/>
      <c r="E123" s="307"/>
      <c r="F123" s="307"/>
      <c r="G123" s="307"/>
      <c r="H123" s="307"/>
      <c r="I123" s="307"/>
      <c r="J123" s="307"/>
      <c r="K123" s="307"/>
      <c r="L123" s="307"/>
      <c r="M123" s="307"/>
      <c r="N123" s="307"/>
      <c r="O123" s="307"/>
      <c r="P123" s="307"/>
      <c r="Q123" s="307"/>
      <c r="R123" s="307"/>
      <c r="S123" s="102">
        <f t="shared" si="14"/>
        <v>0</v>
      </c>
      <c r="T123" s="308"/>
      <c r="U123" s="102">
        <f t="shared" si="15"/>
        <v>0</v>
      </c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</row>
    <row r="124" spans="1:48" x14ac:dyDescent="0.2">
      <c r="A124" s="99">
        <v>1250</v>
      </c>
      <c r="B124" s="307"/>
      <c r="C124" s="307"/>
      <c r="D124" s="307"/>
      <c r="E124" s="307"/>
      <c r="F124" s="307"/>
      <c r="G124" s="307"/>
      <c r="H124" s="307"/>
      <c r="I124" s="307"/>
      <c r="J124" s="307"/>
      <c r="K124" s="307"/>
      <c r="L124" s="307"/>
      <c r="M124" s="307"/>
      <c r="N124" s="307"/>
      <c r="O124" s="307"/>
      <c r="P124" s="307"/>
      <c r="Q124" s="307"/>
      <c r="R124" s="307"/>
      <c r="S124" s="102">
        <f t="shared" si="14"/>
        <v>0</v>
      </c>
      <c r="T124" s="308"/>
      <c r="U124" s="102">
        <f t="shared" si="15"/>
        <v>0</v>
      </c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</row>
    <row r="125" spans="1:48" x14ac:dyDescent="0.2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</row>
    <row r="126" spans="1:48" x14ac:dyDescent="0.2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324" t="s">
        <v>221</v>
      </c>
      <c r="S126" s="109"/>
      <c r="T126" s="324" t="s">
        <v>286</v>
      </c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</row>
    <row r="127" spans="1:48" ht="13.5" thickBot="1" x14ac:dyDescent="0.25">
      <c r="A127" s="140" t="s">
        <v>247</v>
      </c>
      <c r="B127" s="112"/>
      <c r="C127" s="112"/>
      <c r="D127" s="112"/>
      <c r="E127" s="112"/>
      <c r="F127" s="112"/>
      <c r="G127" s="112"/>
      <c r="H127" s="112"/>
      <c r="I127" s="112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</row>
    <row r="128" spans="1:48" x14ac:dyDescent="0.2">
      <c r="A128" s="109"/>
      <c r="B128" s="109" t="s">
        <v>239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</row>
    <row r="129" spans="1:48" x14ac:dyDescent="0.2">
      <c r="A129" s="99" t="s">
        <v>243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2" t="s">
        <v>520</v>
      </c>
      <c r="T129" s="684" t="s">
        <v>518</v>
      </c>
      <c r="U129" s="102" t="s">
        <v>519</v>
      </c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</row>
    <row r="130" spans="1:48" x14ac:dyDescent="0.2">
      <c r="A130" s="99">
        <v>-125</v>
      </c>
      <c r="B130" s="306"/>
      <c r="C130" s="306" t="s">
        <v>67</v>
      </c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102">
        <f t="shared" ref="S130:S139" si="16">SUM(B130:R130)</f>
        <v>0</v>
      </c>
      <c r="T130" s="308"/>
      <c r="U130" s="102">
        <f>S130-T130</f>
        <v>0</v>
      </c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</row>
    <row r="131" spans="1:48" x14ac:dyDescent="0.2">
      <c r="A131" s="99">
        <v>-200</v>
      </c>
      <c r="B131" s="307"/>
      <c r="C131" s="307"/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07"/>
      <c r="P131" s="307"/>
      <c r="Q131" s="307"/>
      <c r="R131" s="307"/>
      <c r="S131" s="102">
        <f t="shared" si="16"/>
        <v>0</v>
      </c>
      <c r="T131" s="308"/>
      <c r="U131" s="102">
        <f t="shared" ref="U131:U139" si="17">S131-T131</f>
        <v>0</v>
      </c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</row>
    <row r="132" spans="1:48" x14ac:dyDescent="0.2">
      <c r="A132" s="99">
        <v>250</v>
      </c>
      <c r="B132" s="307"/>
      <c r="C132" s="307"/>
      <c r="D132" s="307"/>
      <c r="E132" s="307"/>
      <c r="F132" s="307"/>
      <c r="G132" s="307"/>
      <c r="H132" s="307"/>
      <c r="I132" s="307"/>
      <c r="J132" s="307"/>
      <c r="K132" s="307"/>
      <c r="L132" s="307"/>
      <c r="M132" s="307"/>
      <c r="N132" s="307"/>
      <c r="O132" s="307"/>
      <c r="P132" s="307"/>
      <c r="Q132" s="307"/>
      <c r="R132" s="307"/>
      <c r="S132" s="102">
        <f t="shared" si="16"/>
        <v>0</v>
      </c>
      <c r="T132" s="308"/>
      <c r="U132" s="102">
        <f t="shared" si="17"/>
        <v>0</v>
      </c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</row>
    <row r="133" spans="1:48" x14ac:dyDescent="0.2">
      <c r="A133" s="99">
        <v>315</v>
      </c>
      <c r="B133" s="307"/>
      <c r="C133" s="307"/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  <c r="S133" s="102">
        <f t="shared" si="16"/>
        <v>0</v>
      </c>
      <c r="T133" s="308"/>
      <c r="U133" s="102">
        <f t="shared" si="17"/>
        <v>0</v>
      </c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</row>
    <row r="134" spans="1:48" x14ac:dyDescent="0.2">
      <c r="A134" s="99">
        <v>400</v>
      </c>
      <c r="B134" s="307"/>
      <c r="C134" s="307"/>
      <c r="D134" s="307"/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102">
        <f t="shared" si="16"/>
        <v>0</v>
      </c>
      <c r="T134" s="308"/>
      <c r="U134" s="102">
        <f t="shared" si="17"/>
        <v>0</v>
      </c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</row>
    <row r="135" spans="1:48" x14ac:dyDescent="0.2">
      <c r="A135" s="99">
        <v>500</v>
      </c>
      <c r="B135" s="307"/>
      <c r="C135" s="307"/>
      <c r="D135" s="307"/>
      <c r="E135" s="307"/>
      <c r="F135" s="307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102">
        <f t="shared" si="16"/>
        <v>0</v>
      </c>
      <c r="T135" s="308"/>
      <c r="U135" s="102">
        <f t="shared" si="17"/>
        <v>0</v>
      </c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</row>
    <row r="136" spans="1:48" x14ac:dyDescent="0.2">
      <c r="A136" s="99">
        <v>630</v>
      </c>
      <c r="B136" s="307"/>
      <c r="C136" s="307"/>
      <c r="D136" s="307"/>
      <c r="E136" s="307"/>
      <c r="F136" s="307"/>
      <c r="G136" s="307"/>
      <c r="H136" s="307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102">
        <f t="shared" si="16"/>
        <v>0</v>
      </c>
      <c r="T136" s="308"/>
      <c r="U136" s="102">
        <f t="shared" si="17"/>
        <v>0</v>
      </c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</row>
    <row r="137" spans="1:48" x14ac:dyDescent="0.2">
      <c r="A137" s="99">
        <v>800</v>
      </c>
      <c r="B137" s="307"/>
      <c r="C137" s="307"/>
      <c r="D137" s="307"/>
      <c r="E137" s="307"/>
      <c r="F137" s="307"/>
      <c r="G137" s="307"/>
      <c r="H137" s="307"/>
      <c r="I137" s="307"/>
      <c r="J137" s="307"/>
      <c r="K137" s="307"/>
      <c r="L137" s="307"/>
      <c r="M137" s="307"/>
      <c r="N137" s="307"/>
      <c r="O137" s="307"/>
      <c r="P137" s="307"/>
      <c r="Q137" s="307"/>
      <c r="R137" s="307"/>
      <c r="S137" s="102">
        <f t="shared" si="16"/>
        <v>0</v>
      </c>
      <c r="T137" s="308"/>
      <c r="U137" s="102">
        <f t="shared" si="17"/>
        <v>0</v>
      </c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</row>
    <row r="138" spans="1:48" x14ac:dyDescent="0.2">
      <c r="A138" s="99">
        <v>1000</v>
      </c>
      <c r="B138" s="307"/>
      <c r="C138" s="307"/>
      <c r="D138" s="307"/>
      <c r="E138" s="307"/>
      <c r="F138" s="307"/>
      <c r="G138" s="307"/>
      <c r="H138" s="307"/>
      <c r="I138" s="307"/>
      <c r="J138" s="307"/>
      <c r="K138" s="307"/>
      <c r="L138" s="307"/>
      <c r="M138" s="307"/>
      <c r="N138" s="307"/>
      <c r="O138" s="307"/>
      <c r="P138" s="307"/>
      <c r="Q138" s="307"/>
      <c r="R138" s="307"/>
      <c r="S138" s="102">
        <f t="shared" si="16"/>
        <v>0</v>
      </c>
      <c r="T138" s="308"/>
      <c r="U138" s="102">
        <f t="shared" si="17"/>
        <v>0</v>
      </c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</row>
    <row r="139" spans="1:48" x14ac:dyDescent="0.2">
      <c r="A139" s="99">
        <v>1250</v>
      </c>
      <c r="B139" s="307"/>
      <c r="C139" s="307"/>
      <c r="D139" s="307"/>
      <c r="E139" s="307"/>
      <c r="F139" s="307"/>
      <c r="G139" s="307"/>
      <c r="H139" s="307"/>
      <c r="I139" s="307"/>
      <c r="J139" s="307"/>
      <c r="K139" s="307"/>
      <c r="L139" s="307"/>
      <c r="M139" s="307"/>
      <c r="N139" s="307"/>
      <c r="O139" s="307"/>
      <c r="P139" s="307"/>
      <c r="Q139" s="307"/>
      <c r="R139" s="307"/>
      <c r="S139" s="102">
        <f t="shared" si="16"/>
        <v>0</v>
      </c>
      <c r="T139" s="308"/>
      <c r="U139" s="102">
        <f t="shared" si="17"/>
        <v>0</v>
      </c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</row>
    <row r="140" spans="1:48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</row>
    <row r="141" spans="1:48" x14ac:dyDescent="0.2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</row>
    <row r="142" spans="1:48" ht="13.5" thickBot="1" x14ac:dyDescent="0.25">
      <c r="A142" s="140" t="s">
        <v>436</v>
      </c>
      <c r="B142" s="112"/>
      <c r="C142" s="112"/>
      <c r="D142" s="112"/>
      <c r="E142" s="112"/>
      <c r="F142" s="112"/>
      <c r="G142" s="112"/>
      <c r="H142" s="112"/>
      <c r="I142" s="112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</row>
    <row r="143" spans="1:48" x14ac:dyDescent="0.2">
      <c r="A143" s="109"/>
      <c r="B143" s="109" t="s">
        <v>239</v>
      </c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</row>
    <row r="144" spans="1:48" x14ac:dyDescent="0.2">
      <c r="A144" s="99" t="s">
        <v>243</v>
      </c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2" t="s">
        <v>520</v>
      </c>
      <c r="T144" s="684" t="s">
        <v>518</v>
      </c>
      <c r="U144" s="102" t="s">
        <v>519</v>
      </c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</row>
    <row r="145" spans="1:48" x14ac:dyDescent="0.2">
      <c r="A145" s="99">
        <v>-125</v>
      </c>
      <c r="B145" s="306"/>
      <c r="C145" s="306" t="s">
        <v>67</v>
      </c>
      <c r="D145" s="307"/>
      <c r="E145" s="307"/>
      <c r="F145" s="307"/>
      <c r="G145" s="307"/>
      <c r="H145" s="307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  <c r="S145" s="102">
        <f t="shared" ref="S145:S154" si="18">SUM(B145:R145)</f>
        <v>0</v>
      </c>
      <c r="T145" s="308"/>
      <c r="U145" s="102">
        <f>S145-T145</f>
        <v>0</v>
      </c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</row>
    <row r="146" spans="1:48" x14ac:dyDescent="0.2">
      <c r="A146" s="99">
        <v>-200</v>
      </c>
      <c r="B146" s="307"/>
      <c r="C146" s="307"/>
      <c r="D146" s="307"/>
      <c r="E146" s="307"/>
      <c r="F146" s="307"/>
      <c r="G146" s="307"/>
      <c r="H146" s="307"/>
      <c r="I146" s="307"/>
      <c r="J146" s="307"/>
      <c r="K146" s="307"/>
      <c r="L146" s="307"/>
      <c r="M146" s="307"/>
      <c r="N146" s="307"/>
      <c r="O146" s="307"/>
      <c r="P146" s="307"/>
      <c r="Q146" s="307"/>
      <c r="R146" s="307"/>
      <c r="S146" s="102">
        <f t="shared" si="18"/>
        <v>0</v>
      </c>
      <c r="T146" s="308"/>
      <c r="U146" s="102">
        <f t="shared" ref="U146:U154" si="19">S146-T146</f>
        <v>0</v>
      </c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</row>
    <row r="147" spans="1:48" x14ac:dyDescent="0.2">
      <c r="A147" s="99">
        <v>250</v>
      </c>
      <c r="B147" s="307"/>
      <c r="C147" s="307"/>
      <c r="D147" s="307"/>
      <c r="E147" s="307"/>
      <c r="F147" s="307"/>
      <c r="G147" s="307"/>
      <c r="H147" s="307"/>
      <c r="I147" s="307"/>
      <c r="J147" s="307"/>
      <c r="K147" s="307"/>
      <c r="L147" s="307"/>
      <c r="M147" s="307"/>
      <c r="N147" s="307"/>
      <c r="O147" s="307"/>
      <c r="P147" s="307"/>
      <c r="Q147" s="307"/>
      <c r="R147" s="307"/>
      <c r="S147" s="102">
        <f t="shared" si="18"/>
        <v>0</v>
      </c>
      <c r="T147" s="308"/>
      <c r="U147" s="102">
        <f t="shared" si="19"/>
        <v>0</v>
      </c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</row>
    <row r="148" spans="1:48" x14ac:dyDescent="0.2">
      <c r="A148" s="99">
        <v>315</v>
      </c>
      <c r="B148" s="307"/>
      <c r="C148" s="307"/>
      <c r="D148" s="307"/>
      <c r="E148" s="307"/>
      <c r="F148" s="307"/>
      <c r="G148" s="307"/>
      <c r="H148" s="307"/>
      <c r="I148" s="307"/>
      <c r="J148" s="307"/>
      <c r="K148" s="307"/>
      <c r="L148" s="307"/>
      <c r="M148" s="307"/>
      <c r="N148" s="307"/>
      <c r="O148" s="307"/>
      <c r="P148" s="307"/>
      <c r="Q148" s="307"/>
      <c r="R148" s="307"/>
      <c r="S148" s="102">
        <f t="shared" si="18"/>
        <v>0</v>
      </c>
      <c r="T148" s="308"/>
      <c r="U148" s="102">
        <f t="shared" si="19"/>
        <v>0</v>
      </c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</row>
    <row r="149" spans="1:48" x14ac:dyDescent="0.2">
      <c r="A149" s="99">
        <v>400</v>
      </c>
      <c r="B149" s="307"/>
      <c r="C149" s="307"/>
      <c r="D149" s="307"/>
      <c r="E149" s="307"/>
      <c r="F149" s="307"/>
      <c r="G149" s="307"/>
      <c r="H149" s="307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  <c r="S149" s="102">
        <f t="shared" si="18"/>
        <v>0</v>
      </c>
      <c r="T149" s="308"/>
      <c r="U149" s="102">
        <f t="shared" si="19"/>
        <v>0</v>
      </c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</row>
    <row r="150" spans="1:48" x14ac:dyDescent="0.2">
      <c r="A150" s="99">
        <v>500</v>
      </c>
      <c r="B150" s="307"/>
      <c r="C150" s="307"/>
      <c r="D150" s="307"/>
      <c r="E150" s="307"/>
      <c r="F150" s="307"/>
      <c r="G150" s="307"/>
      <c r="H150" s="307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102">
        <f t="shared" si="18"/>
        <v>0</v>
      </c>
      <c r="T150" s="308"/>
      <c r="U150" s="102">
        <f t="shared" si="19"/>
        <v>0</v>
      </c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</row>
    <row r="151" spans="1:48" x14ac:dyDescent="0.2">
      <c r="A151" s="99">
        <v>630</v>
      </c>
      <c r="B151" s="307"/>
      <c r="C151" s="307"/>
      <c r="D151" s="307"/>
      <c r="E151" s="307"/>
      <c r="F151" s="309"/>
      <c r="G151" s="307"/>
      <c r="H151" s="307"/>
      <c r="I151" s="307"/>
      <c r="J151" s="307"/>
      <c r="K151" s="307"/>
      <c r="L151" s="307"/>
      <c r="M151" s="307"/>
      <c r="N151" s="307"/>
      <c r="O151" s="307"/>
      <c r="P151" s="307"/>
      <c r="Q151" s="307"/>
      <c r="R151" s="307"/>
      <c r="S151" s="102">
        <f t="shared" si="18"/>
        <v>0</v>
      </c>
      <c r="T151" s="308"/>
      <c r="U151" s="102">
        <f t="shared" si="19"/>
        <v>0</v>
      </c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</row>
    <row r="152" spans="1:48" x14ac:dyDescent="0.2">
      <c r="A152" s="99">
        <v>800</v>
      </c>
      <c r="B152" s="307"/>
      <c r="C152" s="307"/>
      <c r="D152" s="307"/>
      <c r="E152" s="307"/>
      <c r="F152" s="307"/>
      <c r="G152" s="307"/>
      <c r="H152" s="307"/>
      <c r="I152" s="307"/>
      <c r="J152" s="307"/>
      <c r="K152" s="307"/>
      <c r="L152" s="307"/>
      <c r="M152" s="307"/>
      <c r="N152" s="307"/>
      <c r="O152" s="307"/>
      <c r="P152" s="307"/>
      <c r="Q152" s="307"/>
      <c r="R152" s="307"/>
      <c r="S152" s="102">
        <f t="shared" si="18"/>
        <v>0</v>
      </c>
      <c r="T152" s="308"/>
      <c r="U152" s="102">
        <f t="shared" si="19"/>
        <v>0</v>
      </c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</row>
    <row r="153" spans="1:48" x14ac:dyDescent="0.2">
      <c r="A153" s="99">
        <v>1000</v>
      </c>
      <c r="B153" s="307"/>
      <c r="C153" s="307"/>
      <c r="D153" s="307"/>
      <c r="E153" s="307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102">
        <f t="shared" si="18"/>
        <v>0</v>
      </c>
      <c r="T153" s="308"/>
      <c r="U153" s="102">
        <f t="shared" si="19"/>
        <v>0</v>
      </c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</row>
    <row r="154" spans="1:48" x14ac:dyDescent="0.2">
      <c r="A154" s="99">
        <v>1250</v>
      </c>
      <c r="B154" s="307"/>
      <c r="C154" s="307"/>
      <c r="D154" s="307"/>
      <c r="E154" s="307"/>
      <c r="F154" s="307"/>
      <c r="G154" s="307"/>
      <c r="H154" s="307"/>
      <c r="I154" s="307"/>
      <c r="J154" s="307"/>
      <c r="K154" s="307"/>
      <c r="L154" s="307"/>
      <c r="M154" s="307"/>
      <c r="N154" s="307"/>
      <c r="O154" s="307"/>
      <c r="P154" s="307"/>
      <c r="Q154" s="307"/>
      <c r="R154" s="307"/>
      <c r="S154" s="102">
        <f t="shared" si="18"/>
        <v>0</v>
      </c>
      <c r="T154" s="308"/>
      <c r="U154" s="102">
        <f t="shared" si="19"/>
        <v>0</v>
      </c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</row>
    <row r="155" spans="1:48" x14ac:dyDescent="0.2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</row>
    <row r="156" spans="1:48" x14ac:dyDescent="0.2">
      <c r="A156" s="654" t="s">
        <v>499</v>
      </c>
      <c r="B156" s="459"/>
      <c r="C156" s="459"/>
      <c r="D156" s="459"/>
      <c r="E156" s="459"/>
      <c r="F156" s="459"/>
      <c r="G156" s="459"/>
      <c r="H156" s="459"/>
      <c r="I156" s="459"/>
      <c r="J156" s="45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</row>
    <row r="157" spans="1:48" x14ac:dyDescent="0.2">
      <c r="B157" s="109" t="s">
        <v>239</v>
      </c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</row>
    <row r="158" spans="1:48" x14ac:dyDescent="0.2">
      <c r="A158" s="109"/>
      <c r="B158" s="309"/>
      <c r="C158" s="309"/>
      <c r="D158" s="309"/>
      <c r="E158" s="309"/>
      <c r="F158" s="309"/>
      <c r="G158" s="309"/>
      <c r="H158" s="309"/>
      <c r="I158" s="309"/>
      <c r="J158" s="309"/>
      <c r="K158" s="309"/>
      <c r="L158" s="309"/>
      <c r="M158" s="309"/>
      <c r="N158" s="309"/>
      <c r="O158" s="309"/>
      <c r="P158" s="309"/>
      <c r="Q158" s="309"/>
      <c r="R158" s="309"/>
      <c r="S158" s="309"/>
      <c r="T158" s="309"/>
      <c r="U158" s="355" t="s">
        <v>520</v>
      </c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</row>
    <row r="159" spans="1:48" x14ac:dyDescent="0.2">
      <c r="A159" s="655" t="s">
        <v>145</v>
      </c>
      <c r="B159" s="659"/>
      <c r="C159" s="659"/>
      <c r="D159" s="659"/>
      <c r="E159" s="659"/>
      <c r="F159" s="659"/>
      <c r="G159" s="659"/>
      <c r="H159" s="659"/>
      <c r="I159" s="659"/>
      <c r="J159" s="659"/>
      <c r="K159" s="659"/>
      <c r="L159" s="659"/>
      <c r="M159" s="659"/>
      <c r="N159" s="659"/>
      <c r="O159" s="659"/>
      <c r="P159" s="659"/>
      <c r="Q159" s="659"/>
      <c r="R159" s="659"/>
      <c r="S159" s="659"/>
      <c r="T159" s="659"/>
      <c r="U159" s="366">
        <f>SUM(B159:T159)</f>
        <v>0</v>
      </c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</row>
    <row r="160" spans="1:48" x14ac:dyDescent="0.2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</row>
    <row r="161" spans="1:48" ht="13.5" customHeight="1" thickBot="1" x14ac:dyDescent="0.25">
      <c r="A161" s="140" t="s">
        <v>250</v>
      </c>
      <c r="B161" s="112"/>
      <c r="C161" s="112"/>
      <c r="D161" s="112"/>
      <c r="E161" s="112"/>
      <c r="F161" s="112"/>
      <c r="G161" s="112"/>
      <c r="H161" s="112"/>
      <c r="I161" s="112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</row>
    <row r="162" spans="1:48" x14ac:dyDescent="0.2">
      <c r="A162" s="109"/>
      <c r="B162" s="147"/>
      <c r="C162" s="147" t="s">
        <v>239</v>
      </c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</row>
    <row r="163" spans="1:48" x14ac:dyDescent="0.2">
      <c r="A163" s="99" t="s">
        <v>243</v>
      </c>
      <c r="B163" s="104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2" t="s">
        <v>520</v>
      </c>
      <c r="T163" s="684" t="s">
        <v>518</v>
      </c>
      <c r="U163" s="102" t="s">
        <v>519</v>
      </c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</row>
    <row r="164" spans="1:48" x14ac:dyDescent="0.2">
      <c r="A164" s="105" t="s">
        <v>252</v>
      </c>
      <c r="B164" s="365"/>
      <c r="C164" s="271"/>
      <c r="D164" s="271"/>
      <c r="E164" s="271"/>
      <c r="F164" s="271"/>
      <c r="G164" s="271"/>
      <c r="H164" s="271"/>
      <c r="I164" s="271"/>
      <c r="J164" s="271"/>
      <c r="K164" s="271"/>
      <c r="L164" s="271"/>
      <c r="M164" s="271"/>
      <c r="N164" s="271"/>
      <c r="O164" s="271"/>
      <c r="P164" s="271"/>
      <c r="Q164" s="271"/>
      <c r="R164" s="271"/>
      <c r="S164" s="102"/>
      <c r="T164" s="366"/>
      <c r="U164" s="102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</row>
    <row r="165" spans="1:48" x14ac:dyDescent="0.2">
      <c r="A165" s="99">
        <v>-400</v>
      </c>
      <c r="B165" s="103"/>
      <c r="C165" s="306"/>
      <c r="D165" s="307"/>
      <c r="E165" s="307"/>
      <c r="F165" s="307"/>
      <c r="G165" s="307"/>
      <c r="H165" s="307"/>
      <c r="I165" s="307"/>
      <c r="J165" s="307"/>
      <c r="K165" s="307"/>
      <c r="L165" s="307"/>
      <c r="M165" s="307"/>
      <c r="N165" s="307"/>
      <c r="O165" s="307"/>
      <c r="P165" s="307"/>
      <c r="Q165" s="307"/>
      <c r="R165" s="307"/>
      <c r="S165" s="102">
        <f>SUM(B165:R165)</f>
        <v>0</v>
      </c>
      <c r="T165" s="308"/>
      <c r="U165" s="102">
        <f>S165-T165</f>
        <v>0</v>
      </c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</row>
    <row r="166" spans="1:48" x14ac:dyDescent="0.2">
      <c r="A166" s="337" t="s">
        <v>379</v>
      </c>
      <c r="B166" s="103"/>
      <c r="C166" s="306"/>
      <c r="D166" s="307"/>
      <c r="E166" s="307"/>
      <c r="F166" s="307"/>
      <c r="G166" s="307"/>
      <c r="H166" s="307"/>
      <c r="I166" s="307"/>
      <c r="J166" s="307"/>
      <c r="K166" s="307"/>
      <c r="L166" s="307"/>
      <c r="M166" s="307"/>
      <c r="N166" s="307"/>
      <c r="O166" s="307"/>
      <c r="P166" s="307"/>
      <c r="Q166" s="307"/>
      <c r="R166" s="307"/>
      <c r="S166" s="102">
        <f>SUM(B166:R166)</f>
        <v>0</v>
      </c>
      <c r="T166" s="308"/>
      <c r="U166" s="102">
        <f>S166-T166</f>
        <v>0</v>
      </c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</row>
    <row r="167" spans="1:48" x14ac:dyDescent="0.2">
      <c r="A167" s="105" t="s">
        <v>251</v>
      </c>
      <c r="B167" s="106"/>
      <c r="C167" s="310"/>
      <c r="D167" s="310"/>
      <c r="E167" s="310"/>
      <c r="F167" s="310"/>
      <c r="G167" s="310"/>
      <c r="H167" s="310"/>
      <c r="I167" s="310"/>
      <c r="J167" s="310"/>
      <c r="K167" s="310"/>
      <c r="L167" s="310"/>
      <c r="M167" s="310"/>
      <c r="N167" s="310"/>
      <c r="O167" s="310"/>
      <c r="P167" s="310"/>
      <c r="Q167" s="310"/>
      <c r="R167" s="310"/>
      <c r="S167" s="102"/>
      <c r="T167" s="311"/>
      <c r="U167" s="102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</row>
    <row r="168" spans="1:48" x14ac:dyDescent="0.2">
      <c r="A168" s="99">
        <v>-400</v>
      </c>
      <c r="B168" s="103"/>
      <c r="C168" s="306"/>
      <c r="D168" s="307"/>
      <c r="E168" s="307"/>
      <c r="F168" s="307"/>
      <c r="G168" s="307"/>
      <c r="H168" s="307"/>
      <c r="I168" s="307"/>
      <c r="J168" s="307"/>
      <c r="K168" s="307"/>
      <c r="L168" s="307"/>
      <c r="M168" s="307"/>
      <c r="N168" s="307"/>
      <c r="O168" s="307"/>
      <c r="P168" s="307"/>
      <c r="Q168" s="307"/>
      <c r="R168" s="307"/>
      <c r="S168" s="102">
        <f>SUM(B168:R168)</f>
        <v>0</v>
      </c>
      <c r="T168" s="308"/>
      <c r="U168" s="102">
        <f>S168-T168</f>
        <v>0</v>
      </c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</row>
    <row r="169" spans="1:48" x14ac:dyDescent="0.2">
      <c r="A169" s="337" t="s">
        <v>379</v>
      </c>
      <c r="B169" s="103"/>
      <c r="C169" s="306"/>
      <c r="D169" s="307"/>
      <c r="E169" s="307"/>
      <c r="F169" s="307"/>
      <c r="G169" s="307"/>
      <c r="H169" s="307"/>
      <c r="I169" s="307"/>
      <c r="J169" s="307"/>
      <c r="K169" s="307"/>
      <c r="L169" s="307"/>
      <c r="M169" s="307"/>
      <c r="N169" s="307"/>
      <c r="O169" s="307"/>
      <c r="P169" s="307"/>
      <c r="Q169" s="307"/>
      <c r="R169" s="307"/>
      <c r="S169" s="102">
        <f>SUM(B169:R169)</f>
        <v>0</v>
      </c>
      <c r="T169" s="308"/>
      <c r="U169" s="102">
        <f>S169-T169</f>
        <v>0</v>
      </c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</row>
    <row r="170" spans="1:48" ht="10.5" customHeight="1" x14ac:dyDescent="0.2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</row>
    <row r="171" spans="1:48" ht="13.5" customHeight="1" thickBot="1" x14ac:dyDescent="0.25">
      <c r="A171" s="140" t="s">
        <v>255</v>
      </c>
      <c r="B171" s="112"/>
      <c r="C171" s="112"/>
      <c r="D171" s="112"/>
      <c r="E171" s="112"/>
      <c r="F171" s="112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324" t="s">
        <v>221</v>
      </c>
      <c r="S171" s="300"/>
      <c r="T171" s="324" t="s">
        <v>286</v>
      </c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</row>
    <row r="172" spans="1:48" x14ac:dyDescent="0.2">
      <c r="A172" s="109"/>
      <c r="B172" s="109" t="s">
        <v>239</v>
      </c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</row>
    <row r="173" spans="1:48" x14ac:dyDescent="0.2">
      <c r="A173" s="107" t="s">
        <v>45</v>
      </c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2" t="s">
        <v>520</v>
      </c>
      <c r="T173" s="684" t="s">
        <v>518</v>
      </c>
      <c r="U173" s="102" t="s">
        <v>519</v>
      </c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</row>
    <row r="174" spans="1:48" x14ac:dyDescent="0.2">
      <c r="A174" s="99">
        <v>-125</v>
      </c>
      <c r="B174" s="306"/>
      <c r="C174" s="307"/>
      <c r="D174" s="307"/>
      <c r="E174" s="307"/>
      <c r="F174" s="307"/>
      <c r="G174" s="307"/>
      <c r="H174" s="307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102">
        <f>SUM(B174:R174)</f>
        <v>0</v>
      </c>
      <c r="T174" s="308"/>
      <c r="U174" s="102">
        <f>S174-T174</f>
        <v>0</v>
      </c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</row>
    <row r="175" spans="1:48" x14ac:dyDescent="0.2">
      <c r="A175" s="99">
        <v>-200</v>
      </c>
      <c r="B175" s="306"/>
      <c r="C175" s="307"/>
      <c r="D175" s="307"/>
      <c r="E175" s="307"/>
      <c r="F175" s="307"/>
      <c r="G175" s="307"/>
      <c r="H175" s="307"/>
      <c r="I175" s="307"/>
      <c r="J175" s="307"/>
      <c r="K175" s="307"/>
      <c r="L175" s="307"/>
      <c r="M175" s="307"/>
      <c r="N175" s="307"/>
      <c r="O175" s="307"/>
      <c r="P175" s="307"/>
      <c r="Q175" s="307"/>
      <c r="R175" s="307"/>
      <c r="S175" s="102">
        <f>SUM(B175:R175)</f>
        <v>0</v>
      </c>
      <c r="T175" s="308"/>
      <c r="U175" s="102">
        <f>S175-T175</f>
        <v>0</v>
      </c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</row>
    <row r="176" spans="1:48" x14ac:dyDescent="0.2">
      <c r="A176" s="99">
        <v>250</v>
      </c>
      <c r="B176" s="306"/>
      <c r="C176" s="307"/>
      <c r="D176" s="307"/>
      <c r="E176" s="307"/>
      <c r="F176" s="307"/>
      <c r="G176" s="307"/>
      <c r="H176" s="307"/>
      <c r="I176" s="307"/>
      <c r="J176" s="307"/>
      <c r="K176" s="307"/>
      <c r="L176" s="307"/>
      <c r="M176" s="307"/>
      <c r="N176" s="307"/>
      <c r="O176" s="307"/>
      <c r="P176" s="307"/>
      <c r="Q176" s="307"/>
      <c r="R176" s="307"/>
      <c r="S176" s="102">
        <f>SUM(B176:R176)</f>
        <v>0</v>
      </c>
      <c r="T176" s="308"/>
      <c r="U176" s="102">
        <f>S176-T176</f>
        <v>0</v>
      </c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</row>
    <row r="177" spans="1:48" x14ac:dyDescent="0.2">
      <c r="A177" s="99">
        <v>315</v>
      </c>
      <c r="B177" s="306"/>
      <c r="C177" s="307"/>
      <c r="D177" s="307"/>
      <c r="E177" s="307"/>
      <c r="F177" s="307"/>
      <c r="G177" s="307"/>
      <c r="H177" s="307"/>
      <c r="I177" s="307"/>
      <c r="J177" s="307"/>
      <c r="K177" s="307"/>
      <c r="L177" s="307"/>
      <c r="M177" s="307"/>
      <c r="N177" s="307"/>
      <c r="O177" s="307"/>
      <c r="P177" s="307"/>
      <c r="Q177" s="307"/>
      <c r="R177" s="307"/>
      <c r="S177" s="102">
        <f>SUM(B177:R177)</f>
        <v>0</v>
      </c>
      <c r="T177" s="308"/>
      <c r="U177" s="102">
        <f>S177-T177</f>
        <v>0</v>
      </c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</row>
    <row r="178" spans="1:48" ht="10.5" customHeight="1" x14ac:dyDescent="0.2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</row>
    <row r="179" spans="1:48" ht="12" customHeight="1" thickBot="1" x14ac:dyDescent="0.25">
      <c r="A179" s="140" t="s">
        <v>254</v>
      </c>
      <c r="B179" s="112"/>
      <c r="C179" s="112"/>
      <c r="D179" s="112"/>
      <c r="E179" s="112"/>
      <c r="F179" s="112"/>
      <c r="G179" s="112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</row>
    <row r="180" spans="1:48" x14ac:dyDescent="0.2">
      <c r="A180" s="109"/>
      <c r="B180" s="109" t="s">
        <v>239</v>
      </c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</row>
    <row r="181" spans="1:48" x14ac:dyDescent="0.2">
      <c r="A181" s="107" t="s">
        <v>45</v>
      </c>
      <c r="B181" s="113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2" t="s">
        <v>520</v>
      </c>
      <c r="T181" s="684" t="s">
        <v>518</v>
      </c>
      <c r="U181" s="102" t="s">
        <v>519</v>
      </c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</row>
    <row r="182" spans="1:48" x14ac:dyDescent="0.2">
      <c r="A182" s="754" t="s">
        <v>497</v>
      </c>
      <c r="B182" s="756"/>
      <c r="C182" s="312"/>
      <c r="D182" s="307"/>
      <c r="E182" s="307"/>
      <c r="F182" s="307"/>
      <c r="G182" s="307"/>
      <c r="H182" s="307"/>
      <c r="I182" s="307"/>
      <c r="J182" s="307"/>
      <c r="K182" s="307"/>
      <c r="L182" s="307"/>
      <c r="M182" s="307"/>
      <c r="N182" s="307"/>
      <c r="O182" s="307"/>
      <c r="P182" s="307"/>
      <c r="Q182" s="307"/>
      <c r="R182" s="307"/>
      <c r="S182" s="102">
        <f t="shared" ref="S182:S191" si="20">SUM(B182:R182)</f>
        <v>0</v>
      </c>
      <c r="T182" s="308"/>
      <c r="U182" s="102">
        <f>S182-T182</f>
        <v>0</v>
      </c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</row>
    <row r="183" spans="1:48" x14ac:dyDescent="0.2">
      <c r="A183" s="108" t="s">
        <v>522</v>
      </c>
      <c r="B183" s="114"/>
      <c r="C183" s="306"/>
      <c r="D183" s="307"/>
      <c r="E183" s="307"/>
      <c r="F183" s="307"/>
      <c r="G183" s="307"/>
      <c r="H183" s="307"/>
      <c r="I183" s="307"/>
      <c r="J183" s="307"/>
      <c r="K183" s="307"/>
      <c r="L183" s="307"/>
      <c r="M183" s="307"/>
      <c r="N183" s="307"/>
      <c r="O183" s="307"/>
      <c r="P183" s="307"/>
      <c r="Q183" s="307"/>
      <c r="R183" s="307"/>
      <c r="S183" s="102">
        <f t="shared" si="20"/>
        <v>0</v>
      </c>
      <c r="T183" s="308"/>
      <c r="U183" s="102">
        <f t="shared" ref="U183:U190" si="21">S183-T183</f>
        <v>0</v>
      </c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</row>
    <row r="184" spans="1:48" x14ac:dyDescent="0.2">
      <c r="A184" s="108" t="s">
        <v>523</v>
      </c>
      <c r="B184" s="103"/>
      <c r="C184" s="306"/>
      <c r="D184" s="307"/>
      <c r="E184" s="307"/>
      <c r="F184" s="307"/>
      <c r="G184" s="307"/>
      <c r="H184" s="307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  <c r="S184" s="102">
        <f t="shared" si="20"/>
        <v>0</v>
      </c>
      <c r="T184" s="308"/>
      <c r="U184" s="102">
        <f t="shared" si="21"/>
        <v>0</v>
      </c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</row>
    <row r="185" spans="1:48" x14ac:dyDescent="0.2">
      <c r="A185" s="108" t="s">
        <v>524</v>
      </c>
      <c r="B185" s="103"/>
      <c r="C185" s="306"/>
      <c r="D185" s="307"/>
      <c r="E185" s="307"/>
      <c r="F185" s="307"/>
      <c r="G185" s="307"/>
      <c r="H185" s="307"/>
      <c r="I185" s="307"/>
      <c r="J185" s="307"/>
      <c r="K185" s="307"/>
      <c r="L185" s="307"/>
      <c r="M185" s="307"/>
      <c r="N185" s="307"/>
      <c r="O185" s="307"/>
      <c r="P185" s="307"/>
      <c r="Q185" s="307"/>
      <c r="R185" s="307"/>
      <c r="S185" s="102">
        <f t="shared" si="20"/>
        <v>0</v>
      </c>
      <c r="T185" s="308"/>
      <c r="U185" s="102">
        <f t="shared" si="21"/>
        <v>0</v>
      </c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</row>
    <row r="186" spans="1:48" x14ac:dyDescent="0.2">
      <c r="A186" s="116" t="s">
        <v>525</v>
      </c>
      <c r="B186" s="103"/>
      <c r="C186" s="306"/>
      <c r="D186" s="307"/>
      <c r="E186" s="309"/>
      <c r="F186" s="307"/>
      <c r="G186" s="307"/>
      <c r="H186" s="307"/>
      <c r="I186" s="307"/>
      <c r="J186" s="307"/>
      <c r="K186" s="307"/>
      <c r="L186" s="307"/>
      <c r="M186" s="307"/>
      <c r="N186" s="307"/>
      <c r="O186" s="307"/>
      <c r="P186" s="307"/>
      <c r="Q186" s="307"/>
      <c r="R186" s="307"/>
      <c r="S186" s="102">
        <f t="shared" si="20"/>
        <v>0</v>
      </c>
      <c r="T186" s="308"/>
      <c r="U186" s="102">
        <f t="shared" si="21"/>
        <v>0</v>
      </c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</row>
    <row r="187" spans="1:48" x14ac:dyDescent="0.2">
      <c r="A187" s="685" t="s">
        <v>526</v>
      </c>
      <c r="B187" s="115"/>
      <c r="C187" s="306"/>
      <c r="D187" s="307"/>
      <c r="E187" s="307"/>
      <c r="F187" s="307"/>
      <c r="G187" s="307"/>
      <c r="H187" s="307"/>
      <c r="I187" s="307"/>
      <c r="J187" s="307"/>
      <c r="K187" s="307"/>
      <c r="L187" s="307"/>
      <c r="M187" s="307"/>
      <c r="N187" s="307"/>
      <c r="O187" s="307"/>
      <c r="P187" s="307"/>
      <c r="Q187" s="307"/>
      <c r="R187" s="307"/>
      <c r="S187" s="102">
        <f t="shared" si="20"/>
        <v>0</v>
      </c>
      <c r="T187" s="308"/>
      <c r="U187" s="102">
        <f t="shared" si="21"/>
        <v>0</v>
      </c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</row>
    <row r="188" spans="1:48" x14ac:dyDescent="0.2">
      <c r="A188" s="686" t="s">
        <v>527</v>
      </c>
      <c r="B188" s="115"/>
      <c r="C188" s="306"/>
      <c r="D188" s="307"/>
      <c r="E188" s="307"/>
      <c r="F188" s="307"/>
      <c r="G188" s="307"/>
      <c r="H188" s="307"/>
      <c r="I188" s="307"/>
      <c r="J188" s="307"/>
      <c r="K188" s="307"/>
      <c r="L188" s="307"/>
      <c r="M188" s="307"/>
      <c r="N188" s="307"/>
      <c r="O188" s="307"/>
      <c r="P188" s="307"/>
      <c r="Q188" s="307"/>
      <c r="R188" s="307"/>
      <c r="S188" s="102">
        <f t="shared" si="20"/>
        <v>0</v>
      </c>
      <c r="T188" s="308"/>
      <c r="U188" s="102">
        <f t="shared" si="21"/>
        <v>0</v>
      </c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</row>
    <row r="189" spans="1:48" x14ac:dyDescent="0.2">
      <c r="A189" s="754" t="s">
        <v>496</v>
      </c>
      <c r="B189" s="755"/>
      <c r="C189" s="306"/>
      <c r="D189" s="307"/>
      <c r="E189" s="307"/>
      <c r="F189" s="307"/>
      <c r="G189" s="307"/>
      <c r="H189" s="307"/>
      <c r="I189" s="307"/>
      <c r="J189" s="307"/>
      <c r="K189" s="307"/>
      <c r="L189" s="307"/>
      <c r="M189" s="307"/>
      <c r="N189" s="307"/>
      <c r="O189" s="307"/>
      <c r="P189" s="307"/>
      <c r="Q189" s="307"/>
      <c r="R189" s="307"/>
      <c r="S189" s="102">
        <f t="shared" si="20"/>
        <v>0</v>
      </c>
      <c r="T189" s="308"/>
      <c r="U189" s="102">
        <f t="shared" si="21"/>
        <v>0</v>
      </c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</row>
    <row r="190" spans="1:48" x14ac:dyDescent="0.2">
      <c r="A190" s="685" t="s">
        <v>528</v>
      </c>
      <c r="B190" s="115"/>
      <c r="C190" s="306"/>
      <c r="D190" s="307"/>
      <c r="E190" s="307"/>
      <c r="F190" s="307"/>
      <c r="G190" s="307"/>
      <c r="H190" s="307"/>
      <c r="I190" s="307"/>
      <c r="J190" s="307"/>
      <c r="K190" s="307"/>
      <c r="L190" s="307"/>
      <c r="M190" s="307"/>
      <c r="N190" s="307"/>
      <c r="O190" s="307"/>
      <c r="P190" s="307"/>
      <c r="Q190" s="307"/>
      <c r="R190" s="307"/>
      <c r="S190" s="102">
        <f t="shared" si="20"/>
        <v>0</v>
      </c>
      <c r="T190" s="308"/>
      <c r="U190" s="102">
        <f t="shared" si="21"/>
        <v>0</v>
      </c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</row>
    <row r="191" spans="1:48" x14ac:dyDescent="0.2">
      <c r="A191" s="687" t="s">
        <v>124</v>
      </c>
      <c r="B191" s="635"/>
      <c r="C191" s="306"/>
      <c r="D191" s="307"/>
      <c r="E191" s="307"/>
      <c r="F191" s="307"/>
      <c r="G191" s="307"/>
      <c r="H191" s="307"/>
      <c r="I191" s="307"/>
      <c r="J191" s="307"/>
      <c r="K191" s="307"/>
      <c r="L191" s="307"/>
      <c r="M191" s="307"/>
      <c r="N191" s="307"/>
      <c r="O191" s="307"/>
      <c r="P191" s="307"/>
      <c r="Q191" s="307"/>
      <c r="R191" s="307"/>
      <c r="S191" s="121">
        <f t="shared" si="20"/>
        <v>0</v>
      </c>
      <c r="T191" s="308"/>
      <c r="U191" s="102">
        <f>S191-T191</f>
        <v>0</v>
      </c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</row>
    <row r="192" spans="1:48" x14ac:dyDescent="0.2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</row>
    <row r="193" spans="1:48" x14ac:dyDescent="0.2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</row>
    <row r="194" spans="1:48" x14ac:dyDescent="0.2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</row>
    <row r="195" spans="1:48" x14ac:dyDescent="0.2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</row>
    <row r="196" spans="1:48" x14ac:dyDescent="0.2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</row>
    <row r="197" spans="1:48" x14ac:dyDescent="0.2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</row>
    <row r="198" spans="1:48" x14ac:dyDescent="0.2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</row>
    <row r="199" spans="1:48" x14ac:dyDescent="0.2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</row>
    <row r="200" spans="1:48" x14ac:dyDescent="0.2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</row>
    <row r="201" spans="1:48" x14ac:dyDescent="0.2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</row>
    <row r="202" spans="1:48" x14ac:dyDescent="0.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</row>
    <row r="203" spans="1:48" x14ac:dyDescent="0.2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</row>
    <row r="204" spans="1:48" x14ac:dyDescent="0.2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</row>
    <row r="205" spans="1:48" x14ac:dyDescent="0.2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</row>
    <row r="206" spans="1:48" x14ac:dyDescent="0.2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</row>
    <row r="207" spans="1:48" x14ac:dyDescent="0.2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</row>
    <row r="208" spans="1:48" x14ac:dyDescent="0.2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</row>
    <row r="209" spans="1:48" x14ac:dyDescent="0.2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</row>
    <row r="210" spans="1:48" x14ac:dyDescent="0.2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</row>
    <row r="211" spans="1:48" x14ac:dyDescent="0.2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</row>
    <row r="212" spans="1:48" x14ac:dyDescent="0.2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</row>
    <row r="213" spans="1:48" x14ac:dyDescent="0.2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</row>
    <row r="214" spans="1:48" x14ac:dyDescent="0.2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</row>
    <row r="215" spans="1:48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</row>
    <row r="216" spans="1:48" x14ac:dyDescent="0.2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</row>
    <row r="217" spans="1:48" x14ac:dyDescent="0.2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</row>
    <row r="218" spans="1:48" x14ac:dyDescent="0.2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</row>
    <row r="219" spans="1:48" x14ac:dyDescent="0.2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</row>
    <row r="220" spans="1:48" x14ac:dyDescent="0.2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</row>
    <row r="221" spans="1:48" x14ac:dyDescent="0.2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</row>
    <row r="222" spans="1:48" x14ac:dyDescent="0.2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</row>
    <row r="223" spans="1:48" x14ac:dyDescent="0.2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</row>
    <row r="224" spans="1:48" x14ac:dyDescent="0.2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</row>
    <row r="225" spans="1:48" x14ac:dyDescent="0.2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</row>
    <row r="226" spans="1:48" x14ac:dyDescent="0.2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</row>
    <row r="227" spans="1:48" x14ac:dyDescent="0.2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</row>
    <row r="228" spans="1:48" x14ac:dyDescent="0.2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</row>
    <row r="229" spans="1:48" x14ac:dyDescent="0.2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</row>
    <row r="230" spans="1:48" x14ac:dyDescent="0.2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</row>
    <row r="231" spans="1:48" x14ac:dyDescent="0.2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</row>
    <row r="232" spans="1:48" x14ac:dyDescent="0.2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</row>
    <row r="233" spans="1:48" x14ac:dyDescent="0.2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</row>
    <row r="234" spans="1:48" x14ac:dyDescent="0.2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</row>
    <row r="235" spans="1:48" x14ac:dyDescent="0.2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</row>
    <row r="236" spans="1:48" x14ac:dyDescent="0.2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</row>
    <row r="237" spans="1:48" x14ac:dyDescent="0.2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</row>
    <row r="238" spans="1:48" x14ac:dyDescent="0.2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</row>
    <row r="239" spans="1:48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</row>
    <row r="240" spans="1:48" x14ac:dyDescent="0.2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</row>
    <row r="241" spans="1:48" x14ac:dyDescent="0.2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</row>
    <row r="242" spans="1:48" x14ac:dyDescent="0.2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</row>
    <row r="243" spans="1:48" x14ac:dyDescent="0.2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</row>
    <row r="244" spans="1:48" x14ac:dyDescent="0.2"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</row>
  </sheetData>
  <sheetProtection algorithmName="SHA-512" hashValue="w6lnAdzqag0cL5iV4QCOPLDxk4mI3O8tltoD5Qdv04iIGmO9GLEGcMvLGoZbLKA3I97ErSBWmalZ/AAZiQ0NsA==" saltValue="g7c+0CJQa6ziBlE1gxBd2w==" spinCount="100000" sheet="1"/>
  <mergeCells count="3">
    <mergeCell ref="J6:O6"/>
    <mergeCell ref="A189:B189"/>
    <mergeCell ref="A182:B182"/>
  </mergeCells>
  <phoneticPr fontId="2" type="noConversion"/>
  <hyperlinks>
    <hyperlink ref="R4" location="Etusivu!A1" tooltip="Tästä pääset etusivulle" display="Etusivu" xr:uid="{00000000-0004-0000-0100-000000000000}"/>
    <hyperlink ref="R40" location="Etusivu!A1" tooltip="Tästä pääset etusivulle" display="Etusivu" xr:uid="{00000000-0004-0000-0100-000001000000}"/>
    <hyperlink ref="R98" location="Etusivu!A1" tooltip="Tästä pääset etusivulle" display="Etusivu" xr:uid="{00000000-0004-0000-0100-000002000000}"/>
    <hyperlink ref="R126" location="Etusivu!A1" tooltip="Tästä pääset etusivulle" display="Etusivu" xr:uid="{00000000-0004-0000-0100-000003000000}"/>
    <hyperlink ref="R171" location="Etusivu!A1" tooltip="Tästä pääset etusivulle" display="Etusivu" xr:uid="{00000000-0004-0000-0100-000004000000}"/>
    <hyperlink ref="T4" location="Etusivu!A392" tooltip="Tästä pääset laittamaan olosuhde/haittalisät" display="Haittalisä" xr:uid="{00000000-0004-0000-0100-000005000000}"/>
    <hyperlink ref="T40" location="Etusivu!A392" tooltip="Tästä pääset laittamaan olosuhde/haittalisät" display="Haittalisä" xr:uid="{00000000-0004-0000-0100-000006000000}"/>
    <hyperlink ref="T98" location="Etusivu!A392" tooltip="Tästä pääset laittamaan olosuhde/haittalisät" display="Haittalisä" xr:uid="{00000000-0004-0000-0100-000007000000}"/>
    <hyperlink ref="T126" location="Etusivu!A392" tooltip="Tästä pääset laittamaan olosuhde/haittalisät" display="Haittalisä" xr:uid="{00000000-0004-0000-0100-000008000000}"/>
    <hyperlink ref="T171" location="Etusivu!A392" tooltip="Tästä pääset laittamaan olosuhde/haittalisät" display="Haittalisä" xr:uid="{00000000-0004-0000-0100-000009000000}"/>
  </hyperlinks>
  <pageMargins left="0.43307086614173229" right="0.51181102362204722" top="0.35433070866141736" bottom="0.35433070866141736" header="0.31496062992125984" footer="0.31496062992125984"/>
  <pageSetup paperSize="9" orientation="landscape" r:id="rId1"/>
  <ignoredErrors>
    <ignoredError sqref="S9:U12 S40:U43 S45:U57 S59:U71 S73:U85 S87:U99 S115:U128 S101:U113 S130:U143 S145:U157 S164:U172 S174:U180 S182:U192 S159:U162 S158:T158 S14:U24 S13 U13 S26:U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619"/>
  <sheetViews>
    <sheetView zoomScaleNormal="100" workbookViewId="0">
      <selection activeCell="P19" sqref="P19"/>
    </sheetView>
  </sheetViews>
  <sheetFormatPr defaultRowHeight="12.75" x14ac:dyDescent="0.2"/>
  <cols>
    <col min="1" max="1" width="11.5703125" customWidth="1"/>
    <col min="2" max="16" width="6.5703125" customWidth="1"/>
    <col min="17" max="17" width="6.85546875" customWidth="1"/>
    <col min="18" max="18" width="8" customWidth="1"/>
    <col min="19" max="19" width="6.85546875" customWidth="1"/>
  </cols>
  <sheetData>
    <row r="1" spans="1:66" ht="20.25" customHeight="1" thickBot="1" x14ac:dyDescent="0.25">
      <c r="A1" s="134" t="s">
        <v>495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</row>
    <row r="2" spans="1:66" ht="11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</row>
    <row r="3" spans="1:66" ht="15.75" customHeight="1" x14ac:dyDescent="0.2">
      <c r="A3" s="136"/>
      <c r="B3" s="136" t="s">
        <v>239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</row>
    <row r="4" spans="1:66" x14ac:dyDescent="0.2">
      <c r="A4" s="117" t="s">
        <v>380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 t="s">
        <v>520</v>
      </c>
      <c r="R4" s="119" t="s">
        <v>518</v>
      </c>
      <c r="S4" s="119" t="s">
        <v>519</v>
      </c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</row>
    <row r="5" spans="1:66" x14ac:dyDescent="0.2">
      <c r="A5" s="120" t="s">
        <v>256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119">
        <f>SUM(B5:P5)</f>
        <v>0</v>
      </c>
      <c r="R5" s="314"/>
      <c r="S5" s="119">
        <f>Q5-R5</f>
        <v>0</v>
      </c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</row>
    <row r="6" spans="1:66" x14ac:dyDescent="0.2">
      <c r="A6" s="120">
        <v>1.2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119">
        <f t="shared" ref="Q6:Q14" si="0">SUM(B6:P6)</f>
        <v>0</v>
      </c>
      <c r="R6" s="314"/>
      <c r="S6" s="119">
        <f t="shared" ref="S6:S14" si="1">Q6-R6</f>
        <v>0</v>
      </c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</row>
    <row r="7" spans="1:66" x14ac:dyDescent="0.2">
      <c r="A7" s="120">
        <v>1.4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119">
        <f t="shared" si="0"/>
        <v>0</v>
      </c>
      <c r="R7" s="314"/>
      <c r="S7" s="119">
        <f t="shared" si="1"/>
        <v>0</v>
      </c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</row>
    <row r="8" spans="1:66" x14ac:dyDescent="0.2">
      <c r="A8" s="120">
        <v>1.6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119">
        <f t="shared" si="0"/>
        <v>0</v>
      </c>
      <c r="R8" s="314"/>
      <c r="S8" s="119">
        <f t="shared" si="1"/>
        <v>0</v>
      </c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</row>
    <row r="9" spans="1:66" x14ac:dyDescent="0.2">
      <c r="A9" s="120">
        <v>1.8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119">
        <f t="shared" si="0"/>
        <v>0</v>
      </c>
      <c r="R9" s="314"/>
      <c r="S9" s="119">
        <f t="shared" si="1"/>
        <v>0</v>
      </c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</row>
    <row r="10" spans="1:66" x14ac:dyDescent="0.2">
      <c r="A10" s="120">
        <v>2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119">
        <f t="shared" si="0"/>
        <v>0</v>
      </c>
      <c r="R10" s="314"/>
      <c r="S10" s="119">
        <f t="shared" si="1"/>
        <v>0</v>
      </c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</row>
    <row r="11" spans="1:66" x14ac:dyDescent="0.2">
      <c r="A11" s="120">
        <v>2.4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119">
        <f t="shared" si="0"/>
        <v>0</v>
      </c>
      <c r="R11" s="314"/>
      <c r="S11" s="119">
        <f t="shared" si="1"/>
        <v>0</v>
      </c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</row>
    <row r="12" spans="1:66" x14ac:dyDescent="0.2">
      <c r="A12" s="120">
        <v>2.8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119">
        <f t="shared" si="0"/>
        <v>0</v>
      </c>
      <c r="R12" s="314"/>
      <c r="S12" s="119">
        <f t="shared" si="1"/>
        <v>0</v>
      </c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</row>
    <row r="13" spans="1:66" x14ac:dyDescent="0.2">
      <c r="A13" s="120">
        <v>3.2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119">
        <f t="shared" si="0"/>
        <v>0</v>
      </c>
      <c r="R13" s="314"/>
      <c r="S13" s="119">
        <f t="shared" si="1"/>
        <v>0</v>
      </c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</row>
    <row r="14" spans="1:66" x14ac:dyDescent="0.2">
      <c r="A14" s="120">
        <v>3.6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119">
        <f t="shared" si="0"/>
        <v>0</v>
      </c>
      <c r="R14" s="314"/>
      <c r="S14" s="119">
        <f t="shared" si="1"/>
        <v>0</v>
      </c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</row>
    <row r="15" spans="1:66" x14ac:dyDescent="0.2">
      <c r="A15" s="120">
        <v>3.8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119">
        <f>SUM(B15:P15)</f>
        <v>0</v>
      </c>
      <c r="R15" s="314"/>
      <c r="S15" s="119">
        <f>Q15-R15</f>
        <v>0</v>
      </c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</row>
    <row r="16" spans="1:66" x14ac:dyDescent="0.2">
      <c r="A16" s="120">
        <v>4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119">
        <f t="shared" ref="Q16:Q24" si="2">SUM(B16:P16)</f>
        <v>0</v>
      </c>
      <c r="R16" s="314"/>
      <c r="S16" s="119">
        <f t="shared" ref="S16:S24" si="3">Q16-R16</f>
        <v>0</v>
      </c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</row>
    <row r="17" spans="1:66" x14ac:dyDescent="0.2">
      <c r="A17" s="120">
        <v>4.4000000000000004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119">
        <f t="shared" si="2"/>
        <v>0</v>
      </c>
      <c r="R17" s="314"/>
      <c r="S17" s="119">
        <f t="shared" si="3"/>
        <v>0</v>
      </c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</row>
    <row r="18" spans="1:66" x14ac:dyDescent="0.2">
      <c r="A18" s="120">
        <v>4.8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119">
        <f t="shared" si="2"/>
        <v>0</v>
      </c>
      <c r="R18" s="314"/>
      <c r="S18" s="119">
        <f t="shared" si="3"/>
        <v>0</v>
      </c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</row>
    <row r="19" spans="1:66" x14ac:dyDescent="0.2">
      <c r="A19" s="120">
        <v>5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119">
        <f t="shared" si="2"/>
        <v>0</v>
      </c>
      <c r="R19" s="314"/>
      <c r="S19" s="119">
        <f t="shared" si="3"/>
        <v>0</v>
      </c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</row>
    <row r="20" spans="1:66" x14ac:dyDescent="0.2">
      <c r="A20" s="120">
        <v>5.4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119">
        <f t="shared" si="2"/>
        <v>0</v>
      </c>
      <c r="R20" s="314"/>
      <c r="S20" s="119">
        <f t="shared" si="3"/>
        <v>0</v>
      </c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</row>
    <row r="21" spans="1:66" x14ac:dyDescent="0.2">
      <c r="A21" s="120">
        <v>5.8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119">
        <f t="shared" si="2"/>
        <v>0</v>
      </c>
      <c r="R21" s="314"/>
      <c r="S21" s="119">
        <f t="shared" si="3"/>
        <v>0</v>
      </c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</row>
    <row r="22" spans="1:66" x14ac:dyDescent="0.2">
      <c r="A22" s="120">
        <v>6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119">
        <f t="shared" si="2"/>
        <v>0</v>
      </c>
      <c r="R22" s="314"/>
      <c r="S22" s="119">
        <f t="shared" si="3"/>
        <v>0</v>
      </c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</row>
    <row r="23" spans="1:66" x14ac:dyDescent="0.2">
      <c r="A23" s="120">
        <v>6.4</v>
      </c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119">
        <f t="shared" si="2"/>
        <v>0</v>
      </c>
      <c r="R23" s="314"/>
      <c r="S23" s="119">
        <f t="shared" si="3"/>
        <v>0</v>
      </c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</row>
    <row r="24" spans="1:66" x14ac:dyDescent="0.2">
      <c r="A24" s="120">
        <v>6.8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119">
        <f t="shared" si="2"/>
        <v>0</v>
      </c>
      <c r="R24" s="314"/>
      <c r="S24" s="119">
        <f t="shared" si="3"/>
        <v>0</v>
      </c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</row>
    <row r="25" spans="1:66" x14ac:dyDescent="0.2">
      <c r="A25" s="120">
        <v>7.2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119">
        <f>SUM(B25:P25)</f>
        <v>0</v>
      </c>
      <c r="R25" s="314"/>
      <c r="S25" s="119">
        <f>Q25-R25</f>
        <v>0</v>
      </c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</row>
    <row r="26" spans="1:66" x14ac:dyDescent="0.2">
      <c r="A26" s="120">
        <v>7.6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119">
        <f>SUM(B26:P26)</f>
        <v>0</v>
      </c>
      <c r="R26" s="314"/>
      <c r="S26" s="119">
        <f>Q26-R26</f>
        <v>0</v>
      </c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</row>
    <row r="27" spans="1:66" x14ac:dyDescent="0.2">
      <c r="A27" s="120">
        <v>8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119">
        <f>SUM(B27:P27)</f>
        <v>0</v>
      </c>
      <c r="R27" s="314"/>
      <c r="S27" s="119">
        <f>Q27-R27</f>
        <v>0</v>
      </c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</row>
    <row r="28" spans="1:66" x14ac:dyDescent="0.2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</row>
    <row r="29" spans="1:66" ht="13.5" thickBot="1" x14ac:dyDescent="0.25">
      <c r="A29" s="134" t="s">
        <v>257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6"/>
      <c r="M29" s="136"/>
      <c r="N29" s="136"/>
      <c r="O29" s="136"/>
      <c r="P29" s="136"/>
      <c r="Q29" s="136"/>
      <c r="R29" s="136"/>
      <c r="S29" s="136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</row>
    <row r="30" spans="1:66" x14ac:dyDescent="0.2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301"/>
      <c r="M30" s="301"/>
      <c r="N30" s="301"/>
      <c r="O30" s="136"/>
      <c r="P30" s="327" t="s">
        <v>221</v>
      </c>
      <c r="Q30" s="136"/>
      <c r="R30" s="325" t="s">
        <v>286</v>
      </c>
      <c r="S30" s="136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</row>
    <row r="31" spans="1:66" x14ac:dyDescent="0.2">
      <c r="A31" s="136"/>
      <c r="B31" s="136" t="s">
        <v>239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</row>
    <row r="32" spans="1:66" x14ac:dyDescent="0.2">
      <c r="A32" s="117" t="s">
        <v>380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 t="s">
        <v>520</v>
      </c>
      <c r="R32" s="119" t="s">
        <v>518</v>
      </c>
      <c r="S32" s="119" t="s">
        <v>519</v>
      </c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</row>
    <row r="33" spans="1:66" x14ac:dyDescent="0.2">
      <c r="A33" s="120" t="s">
        <v>256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119">
        <f>SUM(B33:P33)</f>
        <v>0</v>
      </c>
      <c r="R33" s="314"/>
      <c r="S33" s="119">
        <f>Q33-R33</f>
        <v>0</v>
      </c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</row>
    <row r="34" spans="1:66" x14ac:dyDescent="0.2">
      <c r="A34" s="120">
        <v>1.2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119">
        <f t="shared" ref="Q34:Q42" si="4">SUM(B34:P34)</f>
        <v>0</v>
      </c>
      <c r="R34" s="314"/>
      <c r="S34" s="119">
        <f t="shared" ref="S34:S42" si="5">Q34-R34</f>
        <v>0</v>
      </c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</row>
    <row r="35" spans="1:66" x14ac:dyDescent="0.2">
      <c r="A35" s="120">
        <v>1.4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119">
        <f t="shared" si="4"/>
        <v>0</v>
      </c>
      <c r="R35" s="314"/>
      <c r="S35" s="119">
        <f t="shared" si="5"/>
        <v>0</v>
      </c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</row>
    <row r="36" spans="1:66" x14ac:dyDescent="0.2">
      <c r="A36" s="120">
        <v>1.6</v>
      </c>
      <c r="B36" s="313"/>
      <c r="C36" s="313"/>
      <c r="D36" s="313"/>
      <c r="E36" s="313"/>
      <c r="F36" s="313"/>
      <c r="G36" s="313"/>
      <c r="H36" s="315"/>
      <c r="I36" s="313"/>
      <c r="J36" s="313"/>
      <c r="K36" s="313"/>
      <c r="L36" s="313"/>
      <c r="M36" s="313"/>
      <c r="N36" s="313"/>
      <c r="O36" s="313"/>
      <c r="P36" s="313"/>
      <c r="Q36" s="119">
        <f t="shared" si="4"/>
        <v>0</v>
      </c>
      <c r="R36" s="314"/>
      <c r="S36" s="119">
        <f t="shared" si="5"/>
        <v>0</v>
      </c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</row>
    <row r="37" spans="1:66" x14ac:dyDescent="0.2">
      <c r="A37" s="120">
        <v>1.8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119">
        <f t="shared" si="4"/>
        <v>0</v>
      </c>
      <c r="R37" s="314"/>
      <c r="S37" s="119">
        <f t="shared" si="5"/>
        <v>0</v>
      </c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</row>
    <row r="38" spans="1:66" x14ac:dyDescent="0.2">
      <c r="A38" s="120">
        <v>2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119">
        <f t="shared" si="4"/>
        <v>0</v>
      </c>
      <c r="R38" s="314"/>
      <c r="S38" s="119">
        <f t="shared" si="5"/>
        <v>0</v>
      </c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</row>
    <row r="39" spans="1:66" x14ac:dyDescent="0.2">
      <c r="A39" s="120">
        <v>2.4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119">
        <f t="shared" si="4"/>
        <v>0</v>
      </c>
      <c r="R39" s="314"/>
      <c r="S39" s="119">
        <f t="shared" si="5"/>
        <v>0</v>
      </c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</row>
    <row r="40" spans="1:66" x14ac:dyDescent="0.2">
      <c r="A40" s="120">
        <v>2.8</v>
      </c>
      <c r="B40" s="313"/>
      <c r="C40" s="313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119">
        <f t="shared" si="4"/>
        <v>0</v>
      </c>
      <c r="R40" s="314"/>
      <c r="S40" s="119">
        <f t="shared" si="5"/>
        <v>0</v>
      </c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</row>
    <row r="41" spans="1:66" x14ac:dyDescent="0.2">
      <c r="A41" s="120">
        <v>3.2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119">
        <f t="shared" si="4"/>
        <v>0</v>
      </c>
      <c r="R41" s="314"/>
      <c r="S41" s="119">
        <f t="shared" si="5"/>
        <v>0</v>
      </c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</row>
    <row r="42" spans="1:66" x14ac:dyDescent="0.2">
      <c r="A42" s="120">
        <v>3.6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119">
        <f t="shared" si="4"/>
        <v>0</v>
      </c>
      <c r="R42" s="314"/>
      <c r="S42" s="119">
        <f t="shared" si="5"/>
        <v>0</v>
      </c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</row>
    <row r="43" spans="1:66" x14ac:dyDescent="0.2">
      <c r="A43" s="120">
        <v>3.8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119">
        <f>SUM(B43:P43)</f>
        <v>0</v>
      </c>
      <c r="R43" s="314"/>
      <c r="S43" s="119">
        <f>Q43-R43</f>
        <v>0</v>
      </c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</row>
    <row r="44" spans="1:66" x14ac:dyDescent="0.2">
      <c r="A44" s="120">
        <v>4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119">
        <f t="shared" ref="Q44:Q52" si="6">SUM(B44:P44)</f>
        <v>0</v>
      </c>
      <c r="R44" s="314"/>
      <c r="S44" s="119">
        <f t="shared" ref="S44:S52" si="7">Q44-R44</f>
        <v>0</v>
      </c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</row>
    <row r="45" spans="1:66" x14ac:dyDescent="0.2">
      <c r="A45" s="120">
        <v>4.4000000000000004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119">
        <f t="shared" si="6"/>
        <v>0</v>
      </c>
      <c r="R45" s="314"/>
      <c r="S45" s="119">
        <f t="shared" si="7"/>
        <v>0</v>
      </c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</row>
    <row r="46" spans="1:66" x14ac:dyDescent="0.2">
      <c r="A46" s="120">
        <v>4.8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119">
        <f t="shared" si="6"/>
        <v>0</v>
      </c>
      <c r="R46" s="314"/>
      <c r="S46" s="119">
        <f t="shared" si="7"/>
        <v>0</v>
      </c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</row>
    <row r="47" spans="1:66" x14ac:dyDescent="0.2">
      <c r="A47" s="120">
        <v>5</v>
      </c>
      <c r="B47" s="313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119">
        <f t="shared" si="6"/>
        <v>0</v>
      </c>
      <c r="R47" s="314"/>
      <c r="S47" s="119">
        <f t="shared" si="7"/>
        <v>0</v>
      </c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</row>
    <row r="48" spans="1:66" x14ac:dyDescent="0.2">
      <c r="A48" s="120">
        <v>5.4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119">
        <f t="shared" si="6"/>
        <v>0</v>
      </c>
      <c r="R48" s="314"/>
      <c r="S48" s="119">
        <f t="shared" si="7"/>
        <v>0</v>
      </c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</row>
    <row r="49" spans="1:66" x14ac:dyDescent="0.2">
      <c r="A49" s="120">
        <v>5.8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119">
        <f t="shared" si="6"/>
        <v>0</v>
      </c>
      <c r="R49" s="314"/>
      <c r="S49" s="119">
        <f t="shared" si="7"/>
        <v>0</v>
      </c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</row>
    <row r="50" spans="1:66" x14ac:dyDescent="0.2">
      <c r="A50" s="120">
        <v>6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119">
        <f t="shared" si="6"/>
        <v>0</v>
      </c>
      <c r="R50" s="314"/>
      <c r="S50" s="119">
        <f t="shared" si="7"/>
        <v>0</v>
      </c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</row>
    <row r="51" spans="1:66" x14ac:dyDescent="0.2">
      <c r="A51" s="120">
        <v>6.4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119">
        <f t="shared" si="6"/>
        <v>0</v>
      </c>
      <c r="R51" s="314"/>
      <c r="S51" s="119">
        <f t="shared" si="7"/>
        <v>0</v>
      </c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</row>
    <row r="52" spans="1:66" x14ac:dyDescent="0.2">
      <c r="A52" s="120">
        <v>6.8</v>
      </c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119">
        <f t="shared" si="6"/>
        <v>0</v>
      </c>
      <c r="R52" s="314"/>
      <c r="S52" s="119">
        <f t="shared" si="7"/>
        <v>0</v>
      </c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</row>
    <row r="53" spans="1:66" x14ac:dyDescent="0.2">
      <c r="A53" s="120">
        <v>7.2</v>
      </c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119">
        <f>SUM(B53:P53)</f>
        <v>0</v>
      </c>
      <c r="R53" s="314"/>
      <c r="S53" s="119">
        <f>Q53-R53</f>
        <v>0</v>
      </c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</row>
    <row r="54" spans="1:66" x14ac:dyDescent="0.2">
      <c r="A54" s="120">
        <v>7.6</v>
      </c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119">
        <f>SUM(B54:P54)</f>
        <v>0</v>
      </c>
      <c r="R54" s="314"/>
      <c r="S54" s="119">
        <f>Q54-R54</f>
        <v>0</v>
      </c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66" x14ac:dyDescent="0.2">
      <c r="A55" s="120">
        <v>8</v>
      </c>
      <c r="B55" s="313"/>
      <c r="C55" s="313"/>
      <c r="D55" s="313"/>
      <c r="E55" s="313"/>
      <c r="F55" s="313"/>
      <c r="G55" s="313"/>
      <c r="H55" s="313"/>
      <c r="I55" s="315"/>
      <c r="J55" s="315"/>
      <c r="K55" s="313"/>
      <c r="L55" s="313"/>
      <c r="M55" s="313"/>
      <c r="N55" s="313"/>
      <c r="O55" s="313"/>
      <c r="P55" s="313"/>
      <c r="Q55" s="119">
        <f>SUM(B55:P55)</f>
        <v>0</v>
      </c>
      <c r="R55" s="314"/>
      <c r="S55" s="119">
        <f>Q55-R55</f>
        <v>0</v>
      </c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</row>
    <row r="56" spans="1:66" x14ac:dyDescent="0.2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</row>
    <row r="57" spans="1:66" ht="13.5" thickBot="1" x14ac:dyDescent="0.25">
      <c r="A57" s="134" t="s">
        <v>258</v>
      </c>
      <c r="B57" s="135"/>
      <c r="C57" s="135"/>
      <c r="D57" s="135"/>
      <c r="E57" s="135"/>
      <c r="F57" s="135"/>
      <c r="G57" s="135"/>
      <c r="H57" s="135"/>
      <c r="I57" s="135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</row>
    <row r="58" spans="1:66" x14ac:dyDescent="0.2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327" t="s">
        <v>221</v>
      </c>
      <c r="Q58" s="136"/>
      <c r="R58" s="325" t="s">
        <v>286</v>
      </c>
      <c r="S58" s="136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</row>
    <row r="59" spans="1:66" x14ac:dyDescent="0.2">
      <c r="A59" s="136"/>
      <c r="B59" s="136" t="s">
        <v>239</v>
      </c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</row>
    <row r="60" spans="1:66" x14ac:dyDescent="0.2">
      <c r="A60" s="117" t="s">
        <v>380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9" t="s">
        <v>520</v>
      </c>
      <c r="R60" s="119" t="s">
        <v>518</v>
      </c>
      <c r="S60" s="119" t="s">
        <v>519</v>
      </c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</row>
    <row r="61" spans="1:66" x14ac:dyDescent="0.2">
      <c r="A61" s="120" t="s">
        <v>256</v>
      </c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119">
        <f>SUM(B61:P61)</f>
        <v>0</v>
      </c>
      <c r="R61" s="314"/>
      <c r="S61" s="119">
        <f>Q61-R61</f>
        <v>0</v>
      </c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</row>
    <row r="62" spans="1:66" x14ac:dyDescent="0.2">
      <c r="A62" s="120">
        <v>1.2</v>
      </c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119">
        <f t="shared" ref="Q62:Q70" si="8">SUM(B62:P62)</f>
        <v>0</v>
      </c>
      <c r="R62" s="314"/>
      <c r="S62" s="119">
        <f t="shared" ref="S62:S70" si="9">Q62-R62</f>
        <v>0</v>
      </c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</row>
    <row r="63" spans="1:66" x14ac:dyDescent="0.2">
      <c r="A63" s="120">
        <v>1.4</v>
      </c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119">
        <f t="shared" si="8"/>
        <v>0</v>
      </c>
      <c r="R63" s="314"/>
      <c r="S63" s="119">
        <f t="shared" si="9"/>
        <v>0</v>
      </c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</row>
    <row r="64" spans="1:66" x14ac:dyDescent="0.2">
      <c r="A64" s="120">
        <v>1.6</v>
      </c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119">
        <f t="shared" si="8"/>
        <v>0</v>
      </c>
      <c r="R64" s="314"/>
      <c r="S64" s="119">
        <f t="shared" si="9"/>
        <v>0</v>
      </c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</row>
    <row r="65" spans="1:66" x14ac:dyDescent="0.2">
      <c r="A65" s="120">
        <v>1.8</v>
      </c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119">
        <f t="shared" si="8"/>
        <v>0</v>
      </c>
      <c r="R65" s="314"/>
      <c r="S65" s="119">
        <f t="shared" si="9"/>
        <v>0</v>
      </c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</row>
    <row r="66" spans="1:66" x14ac:dyDescent="0.2">
      <c r="A66" s="120">
        <v>2</v>
      </c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119">
        <f t="shared" si="8"/>
        <v>0</v>
      </c>
      <c r="R66" s="314"/>
      <c r="S66" s="119">
        <f t="shared" si="9"/>
        <v>0</v>
      </c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</row>
    <row r="67" spans="1:66" x14ac:dyDescent="0.2">
      <c r="A67" s="120">
        <v>2.4</v>
      </c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119">
        <f t="shared" si="8"/>
        <v>0</v>
      </c>
      <c r="R67" s="314"/>
      <c r="S67" s="119">
        <f t="shared" si="9"/>
        <v>0</v>
      </c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</row>
    <row r="68" spans="1:66" x14ac:dyDescent="0.2">
      <c r="A68" s="120">
        <v>2.8</v>
      </c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119">
        <f t="shared" si="8"/>
        <v>0</v>
      </c>
      <c r="R68" s="314"/>
      <c r="S68" s="119">
        <f t="shared" si="9"/>
        <v>0</v>
      </c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</row>
    <row r="69" spans="1:66" x14ac:dyDescent="0.2">
      <c r="A69" s="120">
        <v>3.2</v>
      </c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119">
        <f t="shared" si="8"/>
        <v>0</v>
      </c>
      <c r="R69" s="314"/>
      <c r="S69" s="119">
        <f t="shared" si="9"/>
        <v>0</v>
      </c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</row>
    <row r="70" spans="1:66" x14ac:dyDescent="0.2">
      <c r="A70" s="120">
        <v>3.6</v>
      </c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119">
        <f t="shared" si="8"/>
        <v>0</v>
      </c>
      <c r="R70" s="314"/>
      <c r="S70" s="119">
        <f t="shared" si="9"/>
        <v>0</v>
      </c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</row>
    <row r="71" spans="1:66" x14ac:dyDescent="0.2">
      <c r="A71" s="120">
        <v>3.8</v>
      </c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119">
        <f>SUM(B71:P71)</f>
        <v>0</v>
      </c>
      <c r="R71" s="314"/>
      <c r="S71" s="119">
        <f>Q71-R71</f>
        <v>0</v>
      </c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</row>
    <row r="72" spans="1:66" x14ac:dyDescent="0.2">
      <c r="A72" s="120">
        <v>4</v>
      </c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119">
        <f t="shared" ref="Q72:Q80" si="10">SUM(B72:P72)</f>
        <v>0</v>
      </c>
      <c r="R72" s="314"/>
      <c r="S72" s="119">
        <f t="shared" ref="S72:S80" si="11">Q72-R72</f>
        <v>0</v>
      </c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</row>
    <row r="73" spans="1:66" x14ac:dyDescent="0.2">
      <c r="A73" s="120">
        <v>4.4000000000000004</v>
      </c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119">
        <f t="shared" si="10"/>
        <v>0</v>
      </c>
      <c r="R73" s="314"/>
      <c r="S73" s="119">
        <f t="shared" si="11"/>
        <v>0</v>
      </c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</row>
    <row r="74" spans="1:66" x14ac:dyDescent="0.2">
      <c r="A74" s="120">
        <v>4.8</v>
      </c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119">
        <f t="shared" si="10"/>
        <v>0</v>
      </c>
      <c r="R74" s="314"/>
      <c r="S74" s="119">
        <f t="shared" si="11"/>
        <v>0</v>
      </c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</row>
    <row r="75" spans="1:66" x14ac:dyDescent="0.2">
      <c r="A75" s="120">
        <v>5</v>
      </c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119">
        <f t="shared" si="10"/>
        <v>0</v>
      </c>
      <c r="R75" s="314"/>
      <c r="S75" s="119">
        <f t="shared" si="11"/>
        <v>0</v>
      </c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</row>
    <row r="76" spans="1:66" x14ac:dyDescent="0.2">
      <c r="A76" s="120">
        <v>5.4</v>
      </c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119">
        <f t="shared" si="10"/>
        <v>0</v>
      </c>
      <c r="R76" s="314"/>
      <c r="S76" s="119">
        <f t="shared" si="11"/>
        <v>0</v>
      </c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</row>
    <row r="77" spans="1:66" x14ac:dyDescent="0.2">
      <c r="A77" s="120">
        <v>5.8</v>
      </c>
      <c r="B77" s="313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119">
        <f t="shared" si="10"/>
        <v>0</v>
      </c>
      <c r="R77" s="314"/>
      <c r="S77" s="119">
        <f t="shared" si="11"/>
        <v>0</v>
      </c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</row>
    <row r="78" spans="1:66" x14ac:dyDescent="0.2">
      <c r="A78" s="120">
        <v>6</v>
      </c>
      <c r="B78" s="313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119">
        <f t="shared" si="10"/>
        <v>0</v>
      </c>
      <c r="R78" s="314"/>
      <c r="S78" s="119">
        <f t="shared" si="11"/>
        <v>0</v>
      </c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</row>
    <row r="79" spans="1:66" x14ac:dyDescent="0.2">
      <c r="A79" s="120">
        <v>6.4</v>
      </c>
      <c r="B79" s="313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119">
        <f t="shared" si="10"/>
        <v>0</v>
      </c>
      <c r="R79" s="314"/>
      <c r="S79" s="119">
        <f t="shared" si="11"/>
        <v>0</v>
      </c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</row>
    <row r="80" spans="1:66" x14ac:dyDescent="0.2">
      <c r="A80" s="120">
        <v>6.8</v>
      </c>
      <c r="B80" s="313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119">
        <f t="shared" si="10"/>
        <v>0</v>
      </c>
      <c r="R80" s="314"/>
      <c r="S80" s="119">
        <f t="shared" si="11"/>
        <v>0</v>
      </c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</row>
    <row r="81" spans="1:66" x14ac:dyDescent="0.2">
      <c r="A81" s="120">
        <v>7.2</v>
      </c>
      <c r="B81" s="313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119">
        <f>SUM(B81:P81)</f>
        <v>0</v>
      </c>
      <c r="R81" s="314"/>
      <c r="S81" s="119">
        <f>Q81-R81</f>
        <v>0</v>
      </c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</row>
    <row r="82" spans="1:66" x14ac:dyDescent="0.2">
      <c r="A82" s="120">
        <v>7.6</v>
      </c>
      <c r="B82" s="313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119">
        <f>SUM(B82:P82)</f>
        <v>0</v>
      </c>
      <c r="R82" s="314"/>
      <c r="S82" s="119">
        <f>Q82-R82</f>
        <v>0</v>
      </c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</row>
    <row r="83" spans="1:66" x14ac:dyDescent="0.2">
      <c r="A83" s="120">
        <v>8</v>
      </c>
      <c r="B83" s="313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119">
        <f>SUM(B83:P83)</f>
        <v>0</v>
      </c>
      <c r="R83" s="314"/>
      <c r="S83" s="119">
        <f>Q83-R83</f>
        <v>0</v>
      </c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</row>
    <row r="84" spans="1:66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</row>
    <row r="85" spans="1:66" ht="13.5" thickBot="1" x14ac:dyDescent="0.25">
      <c r="A85" s="134" t="s">
        <v>259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6"/>
      <c r="N85" s="136"/>
      <c r="O85" s="136"/>
      <c r="P85" s="136"/>
      <c r="Q85" s="136"/>
      <c r="R85" s="136"/>
      <c r="S85" s="136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</row>
    <row r="86" spans="1:66" x14ac:dyDescent="0.2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327" t="s">
        <v>221</v>
      </c>
      <c r="Q86" s="136"/>
      <c r="R86" s="325" t="s">
        <v>286</v>
      </c>
      <c r="S86" s="136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</row>
    <row r="87" spans="1:66" x14ac:dyDescent="0.2">
      <c r="A87" s="136"/>
      <c r="B87" s="136" t="s">
        <v>239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</row>
    <row r="88" spans="1:66" x14ac:dyDescent="0.2">
      <c r="A88" s="117" t="s">
        <v>380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 t="s">
        <v>520</v>
      </c>
      <c r="R88" s="119" t="s">
        <v>518</v>
      </c>
      <c r="S88" s="119" t="s">
        <v>519</v>
      </c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</row>
    <row r="89" spans="1:66" x14ac:dyDescent="0.2">
      <c r="A89" s="120" t="s">
        <v>256</v>
      </c>
      <c r="B89" s="313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119">
        <f>SUM(B89:P89)</f>
        <v>0</v>
      </c>
      <c r="R89" s="314"/>
      <c r="S89" s="119">
        <f>Q89-R89</f>
        <v>0</v>
      </c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</row>
    <row r="90" spans="1:66" x14ac:dyDescent="0.2">
      <c r="A90" s="120">
        <v>1.2</v>
      </c>
      <c r="B90" s="313"/>
      <c r="C90" s="313"/>
      <c r="D90" s="313"/>
      <c r="E90" s="313"/>
      <c r="F90" s="313"/>
      <c r="G90" s="313"/>
      <c r="H90" s="313"/>
      <c r="I90" s="313"/>
      <c r="J90" s="313"/>
      <c r="K90" s="313"/>
      <c r="L90" s="313"/>
      <c r="M90" s="313"/>
      <c r="N90" s="313"/>
      <c r="O90" s="313"/>
      <c r="P90" s="313"/>
      <c r="Q90" s="119">
        <f t="shared" ref="Q90:Q98" si="12">SUM(B90:P90)</f>
        <v>0</v>
      </c>
      <c r="R90" s="314"/>
      <c r="S90" s="119">
        <f t="shared" ref="S90:S98" si="13">Q90-R90</f>
        <v>0</v>
      </c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</row>
    <row r="91" spans="1:66" x14ac:dyDescent="0.2">
      <c r="A91" s="120">
        <v>1.4</v>
      </c>
      <c r="B91" s="313"/>
      <c r="C91" s="313"/>
      <c r="D91" s="313"/>
      <c r="E91" s="313"/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119">
        <f t="shared" si="12"/>
        <v>0</v>
      </c>
      <c r="R91" s="314"/>
      <c r="S91" s="119">
        <f t="shared" si="13"/>
        <v>0</v>
      </c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</row>
    <row r="92" spans="1:66" x14ac:dyDescent="0.2">
      <c r="A92" s="120">
        <v>1.6</v>
      </c>
      <c r="B92" s="313"/>
      <c r="C92" s="313"/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119">
        <f t="shared" si="12"/>
        <v>0</v>
      </c>
      <c r="R92" s="314"/>
      <c r="S92" s="119">
        <f t="shared" si="13"/>
        <v>0</v>
      </c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</row>
    <row r="93" spans="1:66" x14ac:dyDescent="0.2">
      <c r="A93" s="120">
        <v>1.8</v>
      </c>
      <c r="B93" s="313"/>
      <c r="C93" s="313"/>
      <c r="D93" s="313"/>
      <c r="E93" s="313"/>
      <c r="F93" s="313"/>
      <c r="G93" s="313"/>
      <c r="H93" s="313"/>
      <c r="I93" s="313"/>
      <c r="J93" s="313"/>
      <c r="K93" s="313"/>
      <c r="L93" s="313"/>
      <c r="M93" s="313"/>
      <c r="N93" s="313"/>
      <c r="O93" s="313"/>
      <c r="P93" s="313"/>
      <c r="Q93" s="119">
        <f t="shared" si="12"/>
        <v>0</v>
      </c>
      <c r="R93" s="314"/>
      <c r="S93" s="119">
        <f t="shared" si="13"/>
        <v>0</v>
      </c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</row>
    <row r="94" spans="1:66" x14ac:dyDescent="0.2">
      <c r="A94" s="120">
        <v>2</v>
      </c>
      <c r="B94" s="313"/>
      <c r="C94" s="313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119">
        <f t="shared" si="12"/>
        <v>0</v>
      </c>
      <c r="R94" s="314"/>
      <c r="S94" s="119">
        <f t="shared" si="13"/>
        <v>0</v>
      </c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</row>
    <row r="95" spans="1:66" x14ac:dyDescent="0.2">
      <c r="A95" s="120">
        <v>2.4</v>
      </c>
      <c r="B95" s="313"/>
      <c r="C95" s="313"/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119">
        <f t="shared" si="12"/>
        <v>0</v>
      </c>
      <c r="R95" s="314"/>
      <c r="S95" s="119">
        <f t="shared" si="13"/>
        <v>0</v>
      </c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</row>
    <row r="96" spans="1:66" x14ac:dyDescent="0.2">
      <c r="A96" s="120">
        <v>2.8</v>
      </c>
      <c r="B96" s="313"/>
      <c r="C96" s="313"/>
      <c r="D96" s="313"/>
      <c r="E96" s="313"/>
      <c r="F96" s="313"/>
      <c r="G96" s="313"/>
      <c r="H96" s="313"/>
      <c r="I96" s="313"/>
      <c r="J96" s="313"/>
      <c r="K96" s="313"/>
      <c r="L96" s="313"/>
      <c r="M96" s="313"/>
      <c r="N96" s="313"/>
      <c r="O96" s="313"/>
      <c r="P96" s="313"/>
      <c r="Q96" s="119">
        <f t="shared" si="12"/>
        <v>0</v>
      </c>
      <c r="R96" s="314"/>
      <c r="S96" s="119">
        <f t="shared" si="13"/>
        <v>0</v>
      </c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</row>
    <row r="97" spans="1:66" x14ac:dyDescent="0.2">
      <c r="A97" s="120">
        <v>3.2</v>
      </c>
      <c r="B97" s="313"/>
      <c r="C97" s="313"/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119">
        <f t="shared" si="12"/>
        <v>0</v>
      </c>
      <c r="R97" s="314"/>
      <c r="S97" s="119">
        <f t="shared" si="13"/>
        <v>0</v>
      </c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</row>
    <row r="98" spans="1:66" x14ac:dyDescent="0.2">
      <c r="A98" s="120">
        <v>3.6</v>
      </c>
      <c r="B98" s="313"/>
      <c r="C98" s="313"/>
      <c r="D98" s="313"/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119">
        <f t="shared" si="12"/>
        <v>0</v>
      </c>
      <c r="R98" s="314"/>
      <c r="S98" s="119">
        <f t="shared" si="13"/>
        <v>0</v>
      </c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</row>
    <row r="99" spans="1:66" x14ac:dyDescent="0.2">
      <c r="A99" s="120">
        <v>3.8</v>
      </c>
      <c r="B99" s="313"/>
      <c r="C99" s="313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119">
        <f>SUM(B99:P99)</f>
        <v>0</v>
      </c>
      <c r="R99" s="314"/>
      <c r="S99" s="119">
        <f>Q99-R99</f>
        <v>0</v>
      </c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</row>
    <row r="100" spans="1:66" x14ac:dyDescent="0.2">
      <c r="A100" s="120">
        <v>4</v>
      </c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119">
        <f t="shared" ref="Q100:Q108" si="14">SUM(B100:P100)</f>
        <v>0</v>
      </c>
      <c r="R100" s="314"/>
      <c r="S100" s="119">
        <f t="shared" ref="S100:S108" si="15">Q100-R100</f>
        <v>0</v>
      </c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</row>
    <row r="101" spans="1:66" x14ac:dyDescent="0.2">
      <c r="A101" s="120">
        <v>4.4000000000000004</v>
      </c>
      <c r="B101" s="313"/>
      <c r="C101" s="313"/>
      <c r="D101" s="313"/>
      <c r="E101" s="313"/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119">
        <f t="shared" si="14"/>
        <v>0</v>
      </c>
      <c r="R101" s="314"/>
      <c r="S101" s="119">
        <f t="shared" si="15"/>
        <v>0</v>
      </c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</row>
    <row r="102" spans="1:66" x14ac:dyDescent="0.2">
      <c r="A102" s="120">
        <v>4.8</v>
      </c>
      <c r="B102" s="313"/>
      <c r="C102" s="313"/>
      <c r="D102" s="313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119">
        <f t="shared" si="14"/>
        <v>0</v>
      </c>
      <c r="R102" s="314"/>
      <c r="S102" s="119">
        <f t="shared" si="15"/>
        <v>0</v>
      </c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</row>
    <row r="103" spans="1:66" x14ac:dyDescent="0.2">
      <c r="A103" s="120">
        <v>5</v>
      </c>
      <c r="B103" s="313"/>
      <c r="C103" s="313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119">
        <f t="shared" si="14"/>
        <v>0</v>
      </c>
      <c r="R103" s="314"/>
      <c r="S103" s="119">
        <f t="shared" si="15"/>
        <v>0</v>
      </c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</row>
    <row r="104" spans="1:66" x14ac:dyDescent="0.2">
      <c r="A104" s="120">
        <v>5.4</v>
      </c>
      <c r="B104" s="313"/>
      <c r="C104" s="313"/>
      <c r="D104" s="313"/>
      <c r="E104" s="313"/>
      <c r="F104" s="313"/>
      <c r="G104" s="313"/>
      <c r="H104" s="313"/>
      <c r="I104" s="313"/>
      <c r="J104" s="313"/>
      <c r="K104" s="313"/>
      <c r="L104" s="313"/>
      <c r="M104" s="313"/>
      <c r="N104" s="313"/>
      <c r="O104" s="313"/>
      <c r="P104" s="313"/>
      <c r="Q104" s="119">
        <f t="shared" si="14"/>
        <v>0</v>
      </c>
      <c r="R104" s="314"/>
      <c r="S104" s="119">
        <f t="shared" si="15"/>
        <v>0</v>
      </c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</row>
    <row r="105" spans="1:66" x14ac:dyDescent="0.2">
      <c r="A105" s="120">
        <v>5.8</v>
      </c>
      <c r="B105" s="313"/>
      <c r="C105" s="313"/>
      <c r="D105" s="313"/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119">
        <f t="shared" si="14"/>
        <v>0</v>
      </c>
      <c r="R105" s="314"/>
      <c r="S105" s="119">
        <f t="shared" si="15"/>
        <v>0</v>
      </c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</row>
    <row r="106" spans="1:66" x14ac:dyDescent="0.2">
      <c r="A106" s="120">
        <v>6</v>
      </c>
      <c r="B106" s="313"/>
      <c r="C106" s="313"/>
      <c r="D106" s="313"/>
      <c r="E106" s="313"/>
      <c r="F106" s="313"/>
      <c r="G106" s="313"/>
      <c r="H106" s="313"/>
      <c r="I106" s="313"/>
      <c r="J106" s="313"/>
      <c r="K106" s="313"/>
      <c r="L106" s="313"/>
      <c r="M106" s="313"/>
      <c r="N106" s="313"/>
      <c r="O106" s="313"/>
      <c r="P106" s="313"/>
      <c r="Q106" s="119">
        <f t="shared" si="14"/>
        <v>0</v>
      </c>
      <c r="R106" s="314"/>
      <c r="S106" s="119">
        <f t="shared" si="15"/>
        <v>0</v>
      </c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</row>
    <row r="107" spans="1:66" x14ac:dyDescent="0.2">
      <c r="A107" s="120">
        <v>6.4</v>
      </c>
      <c r="B107" s="313"/>
      <c r="C107" s="313"/>
      <c r="D107" s="313"/>
      <c r="E107" s="313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119">
        <f t="shared" si="14"/>
        <v>0</v>
      </c>
      <c r="R107" s="314"/>
      <c r="S107" s="119">
        <f t="shared" si="15"/>
        <v>0</v>
      </c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</row>
    <row r="108" spans="1:66" x14ac:dyDescent="0.2">
      <c r="A108" s="120">
        <v>6.8</v>
      </c>
      <c r="B108" s="313"/>
      <c r="C108" s="313"/>
      <c r="D108" s="313"/>
      <c r="E108" s="313"/>
      <c r="F108" s="313"/>
      <c r="G108" s="313"/>
      <c r="H108" s="313"/>
      <c r="I108" s="313"/>
      <c r="J108" s="313"/>
      <c r="K108" s="313"/>
      <c r="L108" s="313"/>
      <c r="M108" s="313"/>
      <c r="N108" s="313"/>
      <c r="O108" s="313"/>
      <c r="P108" s="313"/>
      <c r="Q108" s="119">
        <f t="shared" si="14"/>
        <v>0</v>
      </c>
      <c r="R108" s="314"/>
      <c r="S108" s="119">
        <f t="shared" si="15"/>
        <v>0</v>
      </c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</row>
    <row r="109" spans="1:66" x14ac:dyDescent="0.2">
      <c r="A109" s="120">
        <v>7.2</v>
      </c>
      <c r="B109" s="313"/>
      <c r="C109" s="313"/>
      <c r="D109" s="313"/>
      <c r="E109" s="313"/>
      <c r="F109" s="313"/>
      <c r="G109" s="313"/>
      <c r="H109" s="313"/>
      <c r="I109" s="313"/>
      <c r="J109" s="313"/>
      <c r="K109" s="313"/>
      <c r="L109" s="313"/>
      <c r="M109" s="313"/>
      <c r="N109" s="313"/>
      <c r="O109" s="313"/>
      <c r="P109" s="313"/>
      <c r="Q109" s="119">
        <f>SUM(B109:P109)</f>
        <v>0</v>
      </c>
      <c r="R109" s="314"/>
      <c r="S109" s="119">
        <f>Q109-R109</f>
        <v>0</v>
      </c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</row>
    <row r="110" spans="1:66" x14ac:dyDescent="0.2">
      <c r="A110" s="120">
        <v>7.6</v>
      </c>
      <c r="B110" s="313"/>
      <c r="C110" s="313"/>
      <c r="D110" s="313"/>
      <c r="E110" s="313"/>
      <c r="F110" s="313"/>
      <c r="G110" s="313"/>
      <c r="H110" s="313"/>
      <c r="I110" s="313"/>
      <c r="J110" s="313"/>
      <c r="K110" s="313"/>
      <c r="L110" s="313"/>
      <c r="M110" s="313"/>
      <c r="N110" s="313"/>
      <c r="O110" s="313"/>
      <c r="P110" s="313"/>
      <c r="Q110" s="119">
        <f>SUM(B110:P110)</f>
        <v>0</v>
      </c>
      <c r="R110" s="314"/>
      <c r="S110" s="119">
        <f>Q110-R110</f>
        <v>0</v>
      </c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</row>
    <row r="111" spans="1:66" x14ac:dyDescent="0.2">
      <c r="A111" s="120">
        <v>8</v>
      </c>
      <c r="B111" s="313"/>
      <c r="C111" s="313"/>
      <c r="D111" s="313"/>
      <c r="E111" s="313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119">
        <f>SUM(B111:P111)</f>
        <v>0</v>
      </c>
      <c r="R111" s="314"/>
      <c r="S111" s="119">
        <f>Q111-R111</f>
        <v>0</v>
      </c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</row>
    <row r="112" spans="1:66" x14ac:dyDescent="0.2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</row>
    <row r="113" spans="1:66" x14ac:dyDescent="0.2">
      <c r="A113" s="654" t="s">
        <v>511</v>
      </c>
      <c r="B113" s="459"/>
      <c r="C113" s="459"/>
      <c r="D113" s="459"/>
      <c r="E113" s="459"/>
      <c r="F113" s="459"/>
      <c r="G113" s="459"/>
      <c r="H113" s="459"/>
      <c r="I113" s="459"/>
      <c r="J113" s="45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</row>
    <row r="114" spans="1:66" x14ac:dyDescent="0.2">
      <c r="B114" s="109" t="s">
        <v>239</v>
      </c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</row>
    <row r="115" spans="1:66" x14ac:dyDescent="0.2">
      <c r="A115" s="109"/>
      <c r="B115" s="309"/>
      <c r="C115" s="309"/>
      <c r="D115" s="309"/>
      <c r="E115" s="309"/>
      <c r="F115" s="309"/>
      <c r="G115" s="309"/>
      <c r="H115" s="309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348" t="s">
        <v>240</v>
      </c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</row>
    <row r="116" spans="1:66" x14ac:dyDescent="0.2">
      <c r="A116" s="660" t="s">
        <v>145</v>
      </c>
      <c r="B116" s="659"/>
      <c r="C116" s="659"/>
      <c r="D116" s="659"/>
      <c r="E116" s="659"/>
      <c r="F116" s="659"/>
      <c r="G116" s="659"/>
      <c r="H116" s="659"/>
      <c r="I116" s="659"/>
      <c r="J116" s="659"/>
      <c r="K116" s="659"/>
      <c r="L116" s="659"/>
      <c r="M116" s="659"/>
      <c r="N116" s="659"/>
      <c r="O116" s="659"/>
      <c r="P116" s="659"/>
      <c r="Q116" s="659"/>
      <c r="R116" s="659"/>
      <c r="S116" s="366">
        <f>SUM(B116:R116)</f>
        <v>0</v>
      </c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</row>
    <row r="117" spans="1:66" x14ac:dyDescent="0.2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</row>
    <row r="118" spans="1:66" x14ac:dyDescent="0.2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</row>
    <row r="119" spans="1:66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</row>
    <row r="120" spans="1:66" x14ac:dyDescent="0.2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</row>
    <row r="121" spans="1:66" x14ac:dyDescent="0.2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</row>
    <row r="122" spans="1:66" x14ac:dyDescent="0.2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</row>
    <row r="123" spans="1:66" x14ac:dyDescent="0.2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</row>
    <row r="124" spans="1:66" x14ac:dyDescent="0.2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</row>
    <row r="125" spans="1:66" x14ac:dyDescent="0.2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</row>
    <row r="126" spans="1:66" x14ac:dyDescent="0.2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</row>
    <row r="127" spans="1:66" x14ac:dyDescent="0.2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</row>
    <row r="128" spans="1:66" x14ac:dyDescent="0.2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</row>
    <row r="129" spans="1:66" x14ac:dyDescent="0.2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</row>
    <row r="130" spans="1:66" x14ac:dyDescent="0.2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</row>
    <row r="131" spans="1:66" x14ac:dyDescent="0.2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</row>
    <row r="132" spans="1:66" x14ac:dyDescent="0.2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</row>
    <row r="133" spans="1:66" x14ac:dyDescent="0.2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</row>
    <row r="134" spans="1:66" x14ac:dyDescent="0.2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</row>
    <row r="135" spans="1:66" x14ac:dyDescent="0.2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</row>
    <row r="136" spans="1:66" x14ac:dyDescent="0.2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</row>
    <row r="137" spans="1:66" x14ac:dyDescent="0.2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</row>
    <row r="138" spans="1:66" x14ac:dyDescent="0.2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</row>
    <row r="139" spans="1:66" x14ac:dyDescent="0.2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</row>
    <row r="140" spans="1:66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</row>
    <row r="141" spans="1:66" x14ac:dyDescent="0.2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</row>
    <row r="142" spans="1:66" x14ac:dyDescent="0.2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/>
      <c r="BJ142" s="109"/>
      <c r="BK142" s="109"/>
      <c r="BL142" s="109"/>
      <c r="BM142" s="109"/>
      <c r="BN142" s="109"/>
    </row>
    <row r="143" spans="1:66" x14ac:dyDescent="0.2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  <c r="BH143" s="109"/>
      <c r="BI143" s="109"/>
      <c r="BJ143" s="109"/>
      <c r="BK143" s="109"/>
      <c r="BL143" s="109"/>
      <c r="BM143" s="109"/>
      <c r="BN143" s="109"/>
    </row>
    <row r="144" spans="1:66" x14ac:dyDescent="0.2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  <c r="BH144" s="109"/>
      <c r="BI144" s="109"/>
      <c r="BJ144" s="109"/>
      <c r="BK144" s="109"/>
      <c r="BL144" s="109"/>
      <c r="BM144" s="109"/>
      <c r="BN144" s="109"/>
    </row>
    <row r="145" spans="1:66" x14ac:dyDescent="0.2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  <c r="BI145" s="109"/>
      <c r="BJ145" s="109"/>
      <c r="BK145" s="109"/>
      <c r="BL145" s="109"/>
      <c r="BM145" s="109"/>
      <c r="BN145" s="109"/>
    </row>
    <row r="146" spans="1:66" x14ac:dyDescent="0.2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</row>
    <row r="147" spans="1:66" x14ac:dyDescent="0.2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</row>
    <row r="148" spans="1:66" x14ac:dyDescent="0.2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</row>
    <row r="149" spans="1:66" x14ac:dyDescent="0.2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</row>
    <row r="150" spans="1:66" x14ac:dyDescent="0.2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</row>
    <row r="151" spans="1:66" x14ac:dyDescent="0.2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9"/>
      <c r="BM151" s="109"/>
      <c r="BN151" s="109"/>
    </row>
    <row r="152" spans="1:66" x14ac:dyDescent="0.2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  <c r="BH152" s="109"/>
      <c r="BI152" s="109"/>
      <c r="BJ152" s="109"/>
      <c r="BK152" s="109"/>
      <c r="BL152" s="109"/>
      <c r="BM152" s="109"/>
      <c r="BN152" s="109"/>
    </row>
    <row r="153" spans="1:66" x14ac:dyDescent="0.2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  <c r="BA153" s="109"/>
      <c r="BB153" s="109"/>
      <c r="BC153" s="109"/>
      <c r="BD153" s="109"/>
      <c r="BE153" s="109"/>
      <c r="BF153" s="109"/>
      <c r="BG153" s="109"/>
      <c r="BH153" s="109"/>
      <c r="BI153" s="109"/>
      <c r="BJ153" s="109"/>
      <c r="BK153" s="109"/>
      <c r="BL153" s="109"/>
      <c r="BM153" s="109"/>
      <c r="BN153" s="109"/>
    </row>
    <row r="154" spans="1:66" x14ac:dyDescent="0.2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  <c r="BA154" s="109"/>
      <c r="BB154" s="109"/>
      <c r="BC154" s="109"/>
      <c r="BD154" s="109"/>
      <c r="BE154" s="109"/>
      <c r="BF154" s="109"/>
      <c r="BG154" s="109"/>
      <c r="BH154" s="109"/>
      <c r="BI154" s="109"/>
      <c r="BJ154" s="109"/>
      <c r="BK154" s="109"/>
      <c r="BL154" s="109"/>
      <c r="BM154" s="109"/>
      <c r="BN154" s="109"/>
    </row>
    <row r="155" spans="1:66" x14ac:dyDescent="0.2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  <c r="BD155" s="109"/>
      <c r="BE155" s="109"/>
      <c r="BF155" s="109"/>
      <c r="BG155" s="109"/>
      <c r="BH155" s="109"/>
      <c r="BI155" s="109"/>
      <c r="BJ155" s="109"/>
      <c r="BK155" s="109"/>
      <c r="BL155" s="109"/>
      <c r="BM155" s="109"/>
      <c r="BN155" s="109"/>
    </row>
    <row r="156" spans="1:66" x14ac:dyDescent="0.2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  <c r="BD156" s="109"/>
      <c r="BE156" s="109"/>
      <c r="BF156" s="109"/>
      <c r="BG156" s="109"/>
      <c r="BH156" s="109"/>
      <c r="BI156" s="109"/>
      <c r="BJ156" s="109"/>
      <c r="BK156" s="109"/>
      <c r="BL156" s="109"/>
      <c r="BM156" s="109"/>
      <c r="BN156" s="109"/>
    </row>
    <row r="157" spans="1:66" x14ac:dyDescent="0.2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  <c r="BA157" s="109"/>
      <c r="BB157" s="109"/>
      <c r="BC157" s="109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09"/>
    </row>
    <row r="158" spans="1:66" x14ac:dyDescent="0.2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09"/>
    </row>
    <row r="159" spans="1:66" x14ac:dyDescent="0.2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</row>
    <row r="160" spans="1:66" x14ac:dyDescent="0.2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</row>
    <row r="161" spans="1:66" x14ac:dyDescent="0.2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</row>
    <row r="162" spans="1:66" x14ac:dyDescent="0.2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09"/>
    </row>
    <row r="163" spans="1:66" x14ac:dyDescent="0.2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</row>
    <row r="164" spans="1:66" x14ac:dyDescent="0.2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  <c r="BD164" s="109"/>
      <c r="BE164" s="109"/>
      <c r="BF164" s="109"/>
      <c r="BG164" s="109"/>
      <c r="BH164" s="109"/>
      <c r="BI164" s="109"/>
      <c r="BJ164" s="109"/>
      <c r="BK164" s="109"/>
      <c r="BL164" s="109"/>
      <c r="BM164" s="109"/>
      <c r="BN164" s="109"/>
    </row>
    <row r="165" spans="1:66" x14ac:dyDescent="0.2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  <c r="BD165" s="109"/>
      <c r="BE165" s="109"/>
      <c r="BF165" s="109"/>
      <c r="BG165" s="109"/>
      <c r="BH165" s="109"/>
      <c r="BI165" s="109"/>
      <c r="BJ165" s="109"/>
      <c r="BK165" s="109"/>
      <c r="BL165" s="109"/>
      <c r="BM165" s="109"/>
      <c r="BN165" s="109"/>
    </row>
    <row r="166" spans="1:66" x14ac:dyDescent="0.2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  <c r="BD166" s="109"/>
      <c r="BE166" s="109"/>
      <c r="BF166" s="109"/>
      <c r="BG166" s="109"/>
      <c r="BH166" s="109"/>
      <c r="BI166" s="109"/>
      <c r="BJ166" s="109"/>
      <c r="BK166" s="109"/>
      <c r="BL166" s="109"/>
      <c r="BM166" s="109"/>
      <c r="BN166" s="109"/>
    </row>
    <row r="167" spans="1:66" x14ac:dyDescent="0.2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09"/>
      <c r="BL167" s="109"/>
      <c r="BM167" s="109"/>
      <c r="BN167" s="109"/>
    </row>
    <row r="168" spans="1:66" x14ac:dyDescent="0.2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  <c r="BL168" s="109"/>
      <c r="BM168" s="109"/>
      <c r="BN168" s="109"/>
    </row>
    <row r="169" spans="1:66" x14ac:dyDescent="0.2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  <c r="BL169" s="109"/>
      <c r="BM169" s="109"/>
      <c r="BN169" s="109"/>
    </row>
    <row r="170" spans="1:66" x14ac:dyDescent="0.2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9"/>
      <c r="BM170" s="109"/>
      <c r="BN170" s="109"/>
    </row>
    <row r="171" spans="1:66" x14ac:dyDescent="0.2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09"/>
    </row>
    <row r="172" spans="1:66" x14ac:dyDescent="0.2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09"/>
    </row>
    <row r="173" spans="1:66" x14ac:dyDescent="0.2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09"/>
    </row>
    <row r="174" spans="1:66" x14ac:dyDescent="0.2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09"/>
    </row>
    <row r="175" spans="1:66" x14ac:dyDescent="0.2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  <c r="BD175" s="109"/>
      <c r="BE175" s="109"/>
      <c r="BF175" s="109"/>
      <c r="BG175" s="109"/>
      <c r="BH175" s="109"/>
      <c r="BI175" s="109"/>
      <c r="BJ175" s="109"/>
      <c r="BK175" s="109"/>
      <c r="BL175" s="109"/>
      <c r="BM175" s="109"/>
      <c r="BN175" s="109"/>
    </row>
    <row r="176" spans="1:66" x14ac:dyDescent="0.2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</row>
    <row r="177" spans="1:66" x14ac:dyDescent="0.2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</row>
    <row r="178" spans="1:66" x14ac:dyDescent="0.2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</row>
    <row r="179" spans="1:66" x14ac:dyDescent="0.2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</row>
    <row r="180" spans="1:66" x14ac:dyDescent="0.2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</row>
    <row r="181" spans="1:66" x14ac:dyDescent="0.2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</row>
    <row r="182" spans="1:66" x14ac:dyDescent="0.2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</row>
    <row r="183" spans="1:66" x14ac:dyDescent="0.2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  <c r="BD183" s="109"/>
      <c r="BE183" s="109"/>
      <c r="BF183" s="109"/>
      <c r="BG183" s="109"/>
      <c r="BH183" s="109"/>
      <c r="BI183" s="109"/>
      <c r="BJ183" s="109"/>
      <c r="BK183" s="109"/>
      <c r="BL183" s="109"/>
      <c r="BM183" s="109"/>
      <c r="BN183" s="109"/>
    </row>
    <row r="184" spans="1:66" x14ac:dyDescent="0.2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  <c r="BD184" s="109"/>
      <c r="BE184" s="109"/>
      <c r="BF184" s="109"/>
      <c r="BG184" s="109"/>
      <c r="BH184" s="109"/>
      <c r="BI184" s="109"/>
      <c r="BJ184" s="109"/>
      <c r="BK184" s="109"/>
      <c r="BL184" s="109"/>
      <c r="BM184" s="109"/>
      <c r="BN184" s="109"/>
    </row>
    <row r="185" spans="1:66" x14ac:dyDescent="0.2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  <c r="BD185" s="109"/>
      <c r="BE185" s="109"/>
      <c r="BF185" s="109"/>
      <c r="BG185" s="109"/>
      <c r="BH185" s="109"/>
      <c r="BI185" s="109"/>
      <c r="BJ185" s="109"/>
      <c r="BK185" s="109"/>
      <c r="BL185" s="109"/>
      <c r="BM185" s="109"/>
      <c r="BN185" s="109"/>
    </row>
    <row r="186" spans="1:66" x14ac:dyDescent="0.2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  <c r="BH186" s="109"/>
      <c r="BI186" s="109"/>
      <c r="BJ186" s="109"/>
      <c r="BK186" s="109"/>
      <c r="BL186" s="109"/>
      <c r="BM186" s="109"/>
      <c r="BN186" s="109"/>
    </row>
    <row r="187" spans="1:66" x14ac:dyDescent="0.2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</row>
    <row r="188" spans="1:66" x14ac:dyDescent="0.2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  <c r="BH188" s="109"/>
      <c r="BI188" s="109"/>
      <c r="BJ188" s="109"/>
      <c r="BK188" s="109"/>
      <c r="BL188" s="109"/>
      <c r="BM188" s="109"/>
      <c r="BN188" s="109"/>
    </row>
    <row r="189" spans="1:66" x14ac:dyDescent="0.2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  <c r="BH189" s="109"/>
      <c r="BI189" s="109"/>
      <c r="BJ189" s="109"/>
      <c r="BK189" s="109"/>
      <c r="BL189" s="109"/>
      <c r="BM189" s="109"/>
      <c r="BN189" s="109"/>
    </row>
    <row r="190" spans="1:66" x14ac:dyDescent="0.2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  <c r="BH190" s="109"/>
      <c r="BI190" s="109"/>
      <c r="BJ190" s="109"/>
      <c r="BK190" s="109"/>
      <c r="BL190" s="109"/>
      <c r="BM190" s="109"/>
      <c r="BN190" s="109"/>
    </row>
    <row r="191" spans="1:66" x14ac:dyDescent="0.2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  <c r="BH191" s="109"/>
      <c r="BI191" s="109"/>
      <c r="BJ191" s="109"/>
      <c r="BK191" s="109"/>
      <c r="BL191" s="109"/>
      <c r="BM191" s="109"/>
      <c r="BN191" s="109"/>
    </row>
    <row r="192" spans="1:66" x14ac:dyDescent="0.2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  <c r="BD192" s="109"/>
      <c r="BE192" s="109"/>
      <c r="BF192" s="109"/>
      <c r="BG192" s="109"/>
      <c r="BH192" s="109"/>
      <c r="BI192" s="109"/>
      <c r="BJ192" s="109"/>
      <c r="BK192" s="109"/>
      <c r="BL192" s="109"/>
      <c r="BM192" s="109"/>
      <c r="BN192" s="109"/>
    </row>
    <row r="193" spans="1:66" x14ac:dyDescent="0.2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  <c r="BH193" s="109"/>
      <c r="BI193" s="109"/>
      <c r="BJ193" s="109"/>
      <c r="BK193" s="109"/>
      <c r="BL193" s="109"/>
      <c r="BM193" s="109"/>
      <c r="BN193" s="109"/>
    </row>
    <row r="194" spans="1:66" x14ac:dyDescent="0.2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  <c r="BD194" s="10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</row>
    <row r="195" spans="1:66" x14ac:dyDescent="0.2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09"/>
    </row>
    <row r="196" spans="1:66" x14ac:dyDescent="0.2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09"/>
    </row>
    <row r="197" spans="1:66" x14ac:dyDescent="0.2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09"/>
    </row>
    <row r="198" spans="1:66" x14ac:dyDescent="0.2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09"/>
    </row>
    <row r="199" spans="1:66" x14ac:dyDescent="0.2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09"/>
      <c r="BE199" s="109"/>
      <c r="BF199" s="109"/>
      <c r="BG199" s="109"/>
      <c r="BH199" s="109"/>
      <c r="BI199" s="109"/>
      <c r="BJ199" s="109"/>
      <c r="BK199" s="109"/>
      <c r="BL199" s="109"/>
      <c r="BM199" s="109"/>
      <c r="BN199" s="109"/>
    </row>
    <row r="200" spans="1:66" x14ac:dyDescent="0.2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</row>
    <row r="201" spans="1:66" x14ac:dyDescent="0.2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</row>
    <row r="202" spans="1:66" x14ac:dyDescent="0.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</row>
    <row r="203" spans="1:66" x14ac:dyDescent="0.2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</row>
    <row r="204" spans="1:66" x14ac:dyDescent="0.2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</row>
    <row r="205" spans="1:66" x14ac:dyDescent="0.2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  <c r="BA205" s="109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9"/>
      <c r="BM205" s="109"/>
      <c r="BN205" s="109"/>
    </row>
    <row r="206" spans="1:66" x14ac:dyDescent="0.2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09"/>
      <c r="BD206" s="109"/>
      <c r="BE206" s="109"/>
      <c r="BF206" s="109"/>
      <c r="BG206" s="109"/>
      <c r="BH206" s="109"/>
      <c r="BI206" s="109"/>
      <c r="BJ206" s="109"/>
      <c r="BK206" s="109"/>
      <c r="BL206" s="109"/>
      <c r="BM206" s="109"/>
      <c r="BN206" s="109"/>
    </row>
    <row r="207" spans="1:66" x14ac:dyDescent="0.2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  <c r="BL207" s="109"/>
      <c r="BM207" s="109"/>
      <c r="BN207" s="109"/>
    </row>
    <row r="208" spans="1:66" x14ac:dyDescent="0.2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9"/>
      <c r="BM208" s="109"/>
      <c r="BN208" s="109"/>
    </row>
    <row r="209" spans="1:66" x14ac:dyDescent="0.2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9"/>
      <c r="BM209" s="109"/>
      <c r="BN209" s="109"/>
    </row>
    <row r="210" spans="1:66" x14ac:dyDescent="0.2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  <c r="BD210" s="109"/>
      <c r="BE210" s="109"/>
      <c r="BF210" s="109"/>
      <c r="BG210" s="109"/>
      <c r="BH210" s="109"/>
      <c r="BI210" s="109"/>
      <c r="BJ210" s="109"/>
      <c r="BK210" s="109"/>
      <c r="BL210" s="109"/>
      <c r="BM210" s="109"/>
      <c r="BN210" s="109"/>
    </row>
    <row r="211" spans="1:66" x14ac:dyDescent="0.2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</row>
    <row r="212" spans="1:66" x14ac:dyDescent="0.2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  <c r="BD212" s="109"/>
      <c r="BE212" s="109"/>
      <c r="BF212" s="109"/>
      <c r="BG212" s="109"/>
      <c r="BH212" s="109"/>
      <c r="BI212" s="109"/>
      <c r="BJ212" s="109"/>
      <c r="BK212" s="109"/>
      <c r="BL212" s="109"/>
      <c r="BM212" s="109"/>
      <c r="BN212" s="109"/>
    </row>
    <row r="213" spans="1:66" x14ac:dyDescent="0.2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  <c r="BD213" s="109"/>
      <c r="BE213" s="109"/>
      <c r="BF213" s="109"/>
      <c r="BG213" s="109"/>
      <c r="BH213" s="109"/>
      <c r="BI213" s="109"/>
      <c r="BJ213" s="109"/>
      <c r="BK213" s="109"/>
      <c r="BL213" s="109"/>
      <c r="BM213" s="109"/>
      <c r="BN213" s="109"/>
    </row>
    <row r="214" spans="1:66" x14ac:dyDescent="0.2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09"/>
      <c r="BB214" s="109"/>
      <c r="BC214" s="109"/>
      <c r="BD214" s="109"/>
      <c r="BE214" s="109"/>
      <c r="BF214" s="109"/>
      <c r="BG214" s="109"/>
      <c r="BH214" s="109"/>
      <c r="BI214" s="109"/>
      <c r="BJ214" s="109"/>
      <c r="BK214" s="109"/>
      <c r="BL214" s="109"/>
      <c r="BM214" s="109"/>
      <c r="BN214" s="109"/>
    </row>
    <row r="215" spans="1:66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  <c r="BD215" s="109"/>
      <c r="BE215" s="109"/>
      <c r="BF215" s="109"/>
      <c r="BG215" s="109"/>
      <c r="BH215" s="109"/>
      <c r="BI215" s="109"/>
      <c r="BJ215" s="109"/>
      <c r="BK215" s="109"/>
      <c r="BL215" s="109"/>
      <c r="BM215" s="109"/>
      <c r="BN215" s="109"/>
    </row>
    <row r="216" spans="1:66" x14ac:dyDescent="0.2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  <c r="BD216" s="109"/>
      <c r="BE216" s="109"/>
      <c r="BF216" s="109"/>
      <c r="BG216" s="109"/>
      <c r="BH216" s="109"/>
      <c r="BI216" s="109"/>
      <c r="BJ216" s="109"/>
      <c r="BK216" s="109"/>
      <c r="BL216" s="109"/>
      <c r="BM216" s="109"/>
      <c r="BN216" s="109"/>
    </row>
    <row r="217" spans="1:66" x14ac:dyDescent="0.2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/>
      <c r="BF217" s="109"/>
      <c r="BG217" s="109"/>
      <c r="BH217" s="109"/>
      <c r="BI217" s="109"/>
      <c r="BJ217" s="109"/>
      <c r="BK217" s="109"/>
      <c r="BL217" s="109"/>
      <c r="BM217" s="109"/>
      <c r="BN217" s="109"/>
    </row>
    <row r="218" spans="1:66" x14ac:dyDescent="0.2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  <c r="BA218" s="109"/>
      <c r="BB218" s="109"/>
      <c r="BC218" s="109"/>
      <c r="BD218" s="109"/>
      <c r="BE218" s="109"/>
      <c r="BF218" s="109"/>
      <c r="BG218" s="109"/>
      <c r="BH218" s="109"/>
      <c r="BI218" s="109"/>
      <c r="BJ218" s="109"/>
      <c r="BK218" s="109"/>
      <c r="BL218" s="109"/>
      <c r="BM218" s="109"/>
      <c r="BN218" s="109"/>
    </row>
    <row r="219" spans="1:66" x14ac:dyDescent="0.2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09"/>
    </row>
    <row r="220" spans="1:66" x14ac:dyDescent="0.2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  <c r="BA220" s="109"/>
      <c r="BB220" s="109"/>
      <c r="BC220" s="109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09"/>
    </row>
    <row r="221" spans="1:66" x14ac:dyDescent="0.2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09"/>
    </row>
    <row r="222" spans="1:66" x14ac:dyDescent="0.2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  <c r="BA222" s="109"/>
      <c r="BB222" s="109"/>
      <c r="BC222" s="109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09"/>
    </row>
    <row r="223" spans="1:66" x14ac:dyDescent="0.2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</row>
    <row r="224" spans="1:66" x14ac:dyDescent="0.2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</row>
    <row r="225" spans="1:66" x14ac:dyDescent="0.2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</row>
    <row r="226" spans="1:66" x14ac:dyDescent="0.2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  <c r="BA226" s="109"/>
      <c r="BB226" s="109"/>
      <c r="BC226" s="109"/>
      <c r="BD226" s="109"/>
      <c r="BE226" s="109"/>
      <c r="BF226" s="109"/>
      <c r="BG226" s="109"/>
      <c r="BH226" s="109"/>
      <c r="BI226" s="109"/>
      <c r="BJ226" s="109"/>
      <c r="BK226" s="109"/>
      <c r="BL226" s="109"/>
      <c r="BM226" s="109"/>
      <c r="BN226" s="109"/>
    </row>
    <row r="227" spans="1:66" x14ac:dyDescent="0.2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  <c r="BA227" s="109"/>
      <c r="BB227" s="109"/>
      <c r="BC227" s="109"/>
      <c r="BD227" s="109"/>
      <c r="BE227" s="109"/>
      <c r="BF227" s="109"/>
      <c r="BG227" s="109"/>
      <c r="BH227" s="109"/>
      <c r="BI227" s="109"/>
      <c r="BJ227" s="109"/>
      <c r="BK227" s="109"/>
      <c r="BL227" s="109"/>
      <c r="BM227" s="109"/>
      <c r="BN227" s="109"/>
    </row>
    <row r="228" spans="1:66" x14ac:dyDescent="0.2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  <c r="BA228" s="109"/>
      <c r="BB228" s="109"/>
      <c r="BC228" s="109"/>
      <c r="BD228" s="109"/>
      <c r="BE228" s="109"/>
      <c r="BF228" s="109"/>
      <c r="BG228" s="109"/>
      <c r="BH228" s="109"/>
      <c r="BI228" s="109"/>
      <c r="BJ228" s="109"/>
      <c r="BK228" s="109"/>
      <c r="BL228" s="109"/>
      <c r="BM228" s="109"/>
      <c r="BN228" s="109"/>
    </row>
    <row r="229" spans="1:66" x14ac:dyDescent="0.2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  <c r="BA229" s="109"/>
      <c r="BB229" s="109"/>
      <c r="BC229" s="109"/>
      <c r="BD229" s="109"/>
      <c r="BE229" s="109"/>
      <c r="BF229" s="109"/>
      <c r="BG229" s="109"/>
      <c r="BH229" s="109"/>
      <c r="BI229" s="109"/>
      <c r="BJ229" s="109"/>
      <c r="BK229" s="109"/>
      <c r="BL229" s="109"/>
      <c r="BM229" s="109"/>
      <c r="BN229" s="109"/>
    </row>
    <row r="230" spans="1:66" x14ac:dyDescent="0.2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  <c r="BA230" s="109"/>
      <c r="BB230" s="109"/>
      <c r="BC230" s="109"/>
      <c r="BD230" s="109"/>
      <c r="BE230" s="109"/>
      <c r="BF230" s="109"/>
      <c r="BG230" s="109"/>
      <c r="BH230" s="109"/>
      <c r="BI230" s="109"/>
      <c r="BJ230" s="109"/>
      <c r="BK230" s="109"/>
      <c r="BL230" s="109"/>
      <c r="BM230" s="109"/>
      <c r="BN230" s="109"/>
    </row>
    <row r="231" spans="1:66" x14ac:dyDescent="0.2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  <c r="BA231" s="109"/>
      <c r="BB231" s="109"/>
      <c r="BC231" s="109"/>
      <c r="BD231" s="109"/>
      <c r="BE231" s="109"/>
      <c r="BF231" s="109"/>
      <c r="BG231" s="109"/>
      <c r="BH231" s="109"/>
      <c r="BI231" s="109"/>
      <c r="BJ231" s="109"/>
      <c r="BK231" s="109"/>
      <c r="BL231" s="109"/>
      <c r="BM231" s="109"/>
      <c r="BN231" s="109"/>
    </row>
    <row r="232" spans="1:66" x14ac:dyDescent="0.2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  <c r="BA232" s="109"/>
      <c r="BB232" s="109"/>
      <c r="BC232" s="109"/>
      <c r="BD232" s="109"/>
      <c r="BE232" s="109"/>
      <c r="BF232" s="109"/>
      <c r="BG232" s="109"/>
      <c r="BH232" s="109"/>
      <c r="BI232" s="109"/>
      <c r="BJ232" s="109"/>
      <c r="BK232" s="109"/>
      <c r="BL232" s="109"/>
      <c r="BM232" s="109"/>
      <c r="BN232" s="109"/>
    </row>
    <row r="233" spans="1:66" x14ac:dyDescent="0.2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  <c r="BA233" s="109"/>
      <c r="BB233" s="109"/>
      <c r="BC233" s="109"/>
      <c r="BD233" s="109"/>
      <c r="BE233" s="109"/>
      <c r="BF233" s="109"/>
      <c r="BG233" s="109"/>
      <c r="BH233" s="109"/>
      <c r="BI233" s="109"/>
      <c r="BJ233" s="109"/>
      <c r="BK233" s="109"/>
      <c r="BL233" s="109"/>
      <c r="BM233" s="109"/>
      <c r="BN233" s="109"/>
    </row>
    <row r="234" spans="1:66" x14ac:dyDescent="0.2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  <c r="BD234" s="109"/>
      <c r="BE234" s="109"/>
      <c r="BF234" s="109"/>
      <c r="BG234" s="109"/>
      <c r="BH234" s="109"/>
      <c r="BI234" s="109"/>
      <c r="BJ234" s="109"/>
      <c r="BK234" s="109"/>
      <c r="BL234" s="109"/>
      <c r="BM234" s="109"/>
      <c r="BN234" s="109"/>
    </row>
    <row r="235" spans="1:66" x14ac:dyDescent="0.2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</row>
    <row r="236" spans="1:66" x14ac:dyDescent="0.2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  <c r="BG236" s="109"/>
      <c r="BH236" s="109"/>
      <c r="BI236" s="109"/>
      <c r="BJ236" s="109"/>
      <c r="BK236" s="109"/>
      <c r="BL236" s="109"/>
      <c r="BM236" s="109"/>
      <c r="BN236" s="109"/>
    </row>
    <row r="237" spans="1:66" x14ac:dyDescent="0.2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  <c r="BG237" s="109"/>
      <c r="BH237" s="109"/>
      <c r="BI237" s="109"/>
      <c r="BJ237" s="109"/>
      <c r="BK237" s="109"/>
      <c r="BL237" s="109"/>
      <c r="BM237" s="109"/>
      <c r="BN237" s="109"/>
    </row>
    <row r="238" spans="1:66" x14ac:dyDescent="0.2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109"/>
      <c r="BH238" s="109"/>
      <c r="BI238" s="109"/>
      <c r="BJ238" s="109"/>
      <c r="BK238" s="109"/>
      <c r="BL238" s="109"/>
      <c r="BM238" s="109"/>
      <c r="BN238" s="109"/>
    </row>
    <row r="239" spans="1:66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  <c r="BG239" s="109"/>
      <c r="BH239" s="109"/>
      <c r="BI239" s="109"/>
      <c r="BJ239" s="109"/>
      <c r="BK239" s="109"/>
      <c r="BL239" s="109"/>
      <c r="BM239" s="109"/>
      <c r="BN239" s="109"/>
    </row>
    <row r="240" spans="1:66" x14ac:dyDescent="0.2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  <c r="BD240" s="109"/>
      <c r="BE240" s="109"/>
      <c r="BF240" s="109"/>
      <c r="BG240" s="109"/>
      <c r="BH240" s="109"/>
      <c r="BI240" s="109"/>
      <c r="BJ240" s="109"/>
      <c r="BK240" s="109"/>
      <c r="BL240" s="109"/>
      <c r="BM240" s="109"/>
      <c r="BN240" s="109"/>
    </row>
    <row r="241" spans="1:66" x14ac:dyDescent="0.2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  <c r="BD241" s="109"/>
      <c r="BE241" s="109"/>
      <c r="BF241" s="109"/>
      <c r="BG241" s="109"/>
      <c r="BH241" s="109"/>
      <c r="BI241" s="109"/>
      <c r="BJ241" s="109"/>
      <c r="BK241" s="109"/>
      <c r="BL241" s="109"/>
      <c r="BM241" s="109"/>
      <c r="BN241" s="109"/>
    </row>
    <row r="242" spans="1:66" x14ac:dyDescent="0.2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  <c r="BA242" s="109"/>
      <c r="BB242" s="109"/>
      <c r="BC242" s="109"/>
      <c r="BD242" s="109"/>
      <c r="BE242" s="109"/>
      <c r="BF242" s="109"/>
      <c r="BG242" s="109"/>
      <c r="BH242" s="109"/>
      <c r="BI242" s="109"/>
      <c r="BJ242" s="109"/>
      <c r="BK242" s="109"/>
      <c r="BL242" s="109"/>
      <c r="BM242" s="109"/>
      <c r="BN242" s="109"/>
    </row>
    <row r="243" spans="1:66" x14ac:dyDescent="0.2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09"/>
    </row>
    <row r="244" spans="1:66" x14ac:dyDescent="0.2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</row>
    <row r="245" spans="1:66" x14ac:dyDescent="0.2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09"/>
    </row>
    <row r="246" spans="1:66" x14ac:dyDescent="0.2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09"/>
    </row>
    <row r="247" spans="1:66" x14ac:dyDescent="0.2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  <c r="BD247" s="109"/>
      <c r="BE247" s="109"/>
      <c r="BF247" s="109"/>
      <c r="BG247" s="109"/>
      <c r="BH247" s="109"/>
      <c r="BI247" s="109"/>
      <c r="BJ247" s="109"/>
      <c r="BK247" s="109"/>
      <c r="BL247" s="109"/>
      <c r="BM247" s="109"/>
      <c r="BN247" s="109"/>
    </row>
    <row r="248" spans="1:66" x14ac:dyDescent="0.2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  <c r="BD248" s="109"/>
      <c r="BE248" s="109"/>
      <c r="BF248" s="109"/>
      <c r="BG248" s="109"/>
      <c r="BH248" s="109"/>
      <c r="BI248" s="109"/>
      <c r="BJ248" s="109"/>
      <c r="BK248" s="109"/>
      <c r="BL248" s="109"/>
      <c r="BM248" s="109"/>
      <c r="BN248" s="109"/>
    </row>
    <row r="249" spans="1:66" x14ac:dyDescent="0.2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</row>
    <row r="250" spans="1:66" x14ac:dyDescent="0.2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</row>
    <row r="251" spans="1:66" x14ac:dyDescent="0.2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</row>
    <row r="252" spans="1:66" x14ac:dyDescent="0.2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</row>
    <row r="253" spans="1:66" x14ac:dyDescent="0.2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</row>
    <row r="254" spans="1:66" x14ac:dyDescent="0.2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</row>
    <row r="255" spans="1:66" x14ac:dyDescent="0.2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</row>
    <row r="256" spans="1:66" x14ac:dyDescent="0.2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9"/>
      <c r="BM256" s="109"/>
      <c r="BN256" s="109"/>
    </row>
    <row r="257" spans="1:66" x14ac:dyDescent="0.2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  <c r="BA257" s="109"/>
      <c r="BB257" s="109"/>
      <c r="BC257" s="109"/>
      <c r="BD257" s="109"/>
      <c r="BE257" s="109"/>
      <c r="BF257" s="109"/>
      <c r="BG257" s="109"/>
      <c r="BH257" s="109"/>
      <c r="BI257" s="109"/>
      <c r="BJ257" s="109"/>
      <c r="BK257" s="109"/>
      <c r="BL257" s="109"/>
      <c r="BM257" s="109"/>
      <c r="BN257" s="109"/>
    </row>
    <row r="258" spans="1:66" x14ac:dyDescent="0.2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9"/>
      <c r="BM258" s="109"/>
      <c r="BN258" s="109"/>
    </row>
    <row r="259" spans="1:66" x14ac:dyDescent="0.2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</row>
    <row r="260" spans="1:66" x14ac:dyDescent="0.2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</row>
    <row r="261" spans="1:66" x14ac:dyDescent="0.2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9"/>
      <c r="BM261" s="109"/>
      <c r="BN261" s="109"/>
    </row>
    <row r="262" spans="1:66" x14ac:dyDescent="0.2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9"/>
      <c r="BM262" s="109"/>
      <c r="BN262" s="109"/>
    </row>
    <row r="263" spans="1:66" x14ac:dyDescent="0.2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9"/>
      <c r="BM263" s="109"/>
      <c r="BN263" s="109"/>
    </row>
    <row r="264" spans="1:66" x14ac:dyDescent="0.2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  <c r="BA264" s="109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9"/>
      <c r="BM264" s="109"/>
      <c r="BN264" s="109"/>
    </row>
    <row r="265" spans="1:66" x14ac:dyDescent="0.2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9"/>
      <c r="BM265" s="109"/>
      <c r="BN265" s="109"/>
    </row>
    <row r="266" spans="1:66" x14ac:dyDescent="0.2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  <c r="BA266" s="109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9"/>
      <c r="BM266" s="109"/>
      <c r="BN266" s="109"/>
    </row>
    <row r="267" spans="1:66" x14ac:dyDescent="0.2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  <c r="BA267" s="109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09"/>
    </row>
    <row r="268" spans="1:66" x14ac:dyDescent="0.2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  <c r="BA268" s="109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09"/>
    </row>
    <row r="269" spans="1:66" x14ac:dyDescent="0.2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  <c r="BA269" s="109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09"/>
    </row>
    <row r="270" spans="1:66" x14ac:dyDescent="0.2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9"/>
      <c r="BM270" s="109"/>
      <c r="BN270" s="109"/>
    </row>
    <row r="271" spans="1:66" x14ac:dyDescent="0.2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  <c r="BA271" s="109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9"/>
      <c r="BM271" s="109"/>
      <c r="BN271" s="109"/>
    </row>
    <row r="272" spans="1:66" x14ac:dyDescent="0.2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  <c r="BA272" s="109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9"/>
      <c r="BM272" s="109"/>
      <c r="BN272" s="109"/>
    </row>
    <row r="273" spans="1:66" x14ac:dyDescent="0.2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  <c r="BA273" s="109"/>
      <c r="BB273" s="109"/>
      <c r="BC273" s="109"/>
      <c r="BD273" s="109"/>
      <c r="BE273" s="109"/>
      <c r="BF273" s="109"/>
      <c r="BG273" s="109"/>
      <c r="BH273" s="109"/>
      <c r="BI273" s="109"/>
      <c r="BJ273" s="109"/>
      <c r="BK273" s="109"/>
      <c r="BL273" s="109"/>
      <c r="BM273" s="109"/>
      <c r="BN273" s="109"/>
    </row>
    <row r="274" spans="1:66" x14ac:dyDescent="0.2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</row>
    <row r="275" spans="1:66" x14ac:dyDescent="0.2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  <c r="BA275" s="109"/>
      <c r="BB275" s="109"/>
      <c r="BC275" s="109"/>
      <c r="BD275" s="109"/>
      <c r="BE275" s="109"/>
      <c r="BF275" s="109"/>
      <c r="BG275" s="109"/>
      <c r="BH275" s="109"/>
      <c r="BI275" s="109"/>
      <c r="BJ275" s="109"/>
      <c r="BK275" s="109"/>
      <c r="BL275" s="109"/>
      <c r="BM275" s="109"/>
      <c r="BN275" s="109"/>
    </row>
    <row r="276" spans="1:66" x14ac:dyDescent="0.2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09"/>
      <c r="BD276" s="109"/>
      <c r="BE276" s="109"/>
      <c r="BF276" s="109"/>
      <c r="BG276" s="109"/>
      <c r="BH276" s="109"/>
      <c r="BI276" s="109"/>
      <c r="BJ276" s="109"/>
      <c r="BK276" s="109"/>
      <c r="BL276" s="109"/>
      <c r="BM276" s="109"/>
      <c r="BN276" s="109"/>
    </row>
    <row r="277" spans="1:66" x14ac:dyDescent="0.2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09"/>
      <c r="BD277" s="109"/>
      <c r="BE277" s="109"/>
      <c r="BF277" s="109"/>
      <c r="BG277" s="109"/>
      <c r="BH277" s="109"/>
      <c r="BI277" s="109"/>
      <c r="BJ277" s="109"/>
      <c r="BK277" s="109"/>
      <c r="BL277" s="109"/>
      <c r="BM277" s="109"/>
      <c r="BN277" s="109"/>
    </row>
    <row r="278" spans="1:66" x14ac:dyDescent="0.2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09"/>
      <c r="BD278" s="109"/>
      <c r="BE278" s="109"/>
      <c r="BF278" s="109"/>
      <c r="BG278" s="109"/>
      <c r="BH278" s="109"/>
      <c r="BI278" s="109"/>
      <c r="BJ278" s="109"/>
      <c r="BK278" s="109"/>
      <c r="BL278" s="109"/>
      <c r="BM278" s="109"/>
      <c r="BN278" s="109"/>
    </row>
    <row r="279" spans="1:66" x14ac:dyDescent="0.2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09"/>
      <c r="BD279" s="109"/>
      <c r="BE279" s="109"/>
      <c r="BF279" s="109"/>
      <c r="BG279" s="109"/>
      <c r="BH279" s="109"/>
      <c r="BI279" s="109"/>
      <c r="BJ279" s="109"/>
      <c r="BK279" s="109"/>
      <c r="BL279" s="109"/>
      <c r="BM279" s="109"/>
      <c r="BN279" s="109"/>
    </row>
    <row r="280" spans="1:66" x14ac:dyDescent="0.2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09"/>
      <c r="BD280" s="109"/>
      <c r="BE280" s="109"/>
      <c r="BF280" s="109"/>
      <c r="BG280" s="109"/>
      <c r="BH280" s="109"/>
      <c r="BI280" s="109"/>
      <c r="BJ280" s="109"/>
      <c r="BK280" s="109"/>
      <c r="BL280" s="109"/>
      <c r="BM280" s="109"/>
      <c r="BN280" s="109"/>
    </row>
    <row r="281" spans="1:66" x14ac:dyDescent="0.2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  <c r="BA281" s="109"/>
      <c r="BB281" s="109"/>
      <c r="BC281" s="109"/>
      <c r="BD281" s="109"/>
      <c r="BE281" s="109"/>
      <c r="BF281" s="109"/>
      <c r="BG281" s="109"/>
      <c r="BH281" s="109"/>
      <c r="BI281" s="109"/>
      <c r="BJ281" s="109"/>
      <c r="BK281" s="109"/>
      <c r="BL281" s="109"/>
      <c r="BM281" s="109"/>
      <c r="BN281" s="109"/>
    </row>
    <row r="282" spans="1:66" x14ac:dyDescent="0.2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</row>
    <row r="283" spans="1:66" x14ac:dyDescent="0.2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  <c r="BA283" s="109"/>
      <c r="BB283" s="109"/>
      <c r="BC283" s="109"/>
      <c r="BD283" s="109"/>
      <c r="BE283" s="109"/>
      <c r="BF283" s="109"/>
      <c r="BG283" s="109"/>
      <c r="BH283" s="109"/>
      <c r="BI283" s="109"/>
      <c r="BJ283" s="109"/>
      <c r="BK283" s="109"/>
      <c r="BL283" s="109"/>
      <c r="BM283" s="109"/>
      <c r="BN283" s="109"/>
    </row>
    <row r="284" spans="1:66" x14ac:dyDescent="0.2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  <c r="BA284" s="109"/>
      <c r="BB284" s="109"/>
      <c r="BC284" s="109"/>
      <c r="BD284" s="109"/>
      <c r="BE284" s="109"/>
      <c r="BF284" s="109"/>
      <c r="BG284" s="109"/>
      <c r="BH284" s="109"/>
      <c r="BI284" s="109"/>
      <c r="BJ284" s="109"/>
      <c r="BK284" s="109"/>
      <c r="BL284" s="109"/>
      <c r="BM284" s="109"/>
      <c r="BN284" s="109"/>
    </row>
    <row r="285" spans="1:66" x14ac:dyDescent="0.2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  <c r="BA285" s="109"/>
      <c r="BB285" s="109"/>
      <c r="BC285" s="109"/>
      <c r="BD285" s="109"/>
      <c r="BE285" s="109"/>
      <c r="BF285" s="109"/>
      <c r="BG285" s="109"/>
      <c r="BH285" s="109"/>
      <c r="BI285" s="109"/>
      <c r="BJ285" s="109"/>
      <c r="BK285" s="109"/>
      <c r="BL285" s="109"/>
      <c r="BM285" s="109"/>
      <c r="BN285" s="109"/>
    </row>
    <row r="286" spans="1:66" x14ac:dyDescent="0.2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09"/>
      <c r="AY286" s="109"/>
      <c r="AZ286" s="109"/>
      <c r="BA286" s="109"/>
      <c r="BB286" s="109"/>
      <c r="BC286" s="109"/>
      <c r="BD286" s="109"/>
      <c r="BE286" s="109"/>
      <c r="BF286" s="109"/>
      <c r="BG286" s="109"/>
      <c r="BH286" s="109"/>
      <c r="BI286" s="109"/>
      <c r="BJ286" s="109"/>
      <c r="BK286" s="109"/>
      <c r="BL286" s="109"/>
      <c r="BM286" s="109"/>
      <c r="BN286" s="109"/>
    </row>
    <row r="287" spans="1:66" x14ac:dyDescent="0.2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09"/>
      <c r="BH287" s="109"/>
      <c r="BI287" s="109"/>
      <c r="BJ287" s="109"/>
      <c r="BK287" s="109"/>
      <c r="BL287" s="109"/>
      <c r="BM287" s="109"/>
      <c r="BN287" s="109"/>
    </row>
    <row r="288" spans="1:66" x14ac:dyDescent="0.2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09"/>
      <c r="AY288" s="109"/>
      <c r="AZ288" s="109"/>
      <c r="BA288" s="109"/>
      <c r="BB288" s="109"/>
      <c r="BC288" s="109"/>
      <c r="BD288" s="109"/>
      <c r="BE288" s="109"/>
      <c r="BF288" s="109"/>
      <c r="BG288" s="109"/>
      <c r="BH288" s="109"/>
      <c r="BI288" s="109"/>
      <c r="BJ288" s="109"/>
      <c r="BK288" s="109"/>
      <c r="BL288" s="109"/>
      <c r="BM288" s="109"/>
      <c r="BN288" s="109"/>
    </row>
    <row r="289" spans="1:66" x14ac:dyDescent="0.2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09"/>
      <c r="AY289" s="109"/>
      <c r="AZ289" s="109"/>
      <c r="BA289" s="109"/>
      <c r="BB289" s="109"/>
      <c r="BC289" s="109"/>
      <c r="BD289" s="109"/>
      <c r="BE289" s="109"/>
      <c r="BF289" s="109"/>
      <c r="BG289" s="109"/>
      <c r="BH289" s="109"/>
      <c r="BI289" s="109"/>
      <c r="BJ289" s="109"/>
      <c r="BK289" s="109"/>
      <c r="BL289" s="109"/>
      <c r="BM289" s="109"/>
      <c r="BN289" s="109"/>
    </row>
    <row r="290" spans="1:66" x14ac:dyDescent="0.2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09"/>
      <c r="AY290" s="109"/>
      <c r="AZ290" s="109"/>
      <c r="BA290" s="109"/>
      <c r="BB290" s="109"/>
      <c r="BC290" s="109"/>
      <c r="BD290" s="109"/>
      <c r="BE290" s="109"/>
      <c r="BF290" s="109"/>
      <c r="BG290" s="109"/>
      <c r="BH290" s="109"/>
      <c r="BI290" s="109"/>
      <c r="BJ290" s="109"/>
      <c r="BK290" s="109"/>
      <c r="BL290" s="109"/>
      <c r="BM290" s="109"/>
      <c r="BN290" s="109"/>
    </row>
    <row r="291" spans="1:66" x14ac:dyDescent="0.2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  <c r="BA291" s="109"/>
      <c r="BB291" s="109"/>
      <c r="BC291" s="109"/>
      <c r="BD291" s="109"/>
      <c r="BE291" s="109"/>
      <c r="BF291" s="109"/>
      <c r="BG291" s="109"/>
      <c r="BH291" s="109"/>
      <c r="BI291" s="109"/>
      <c r="BJ291" s="109"/>
      <c r="BK291" s="109"/>
      <c r="BL291" s="109"/>
      <c r="BM291" s="109"/>
      <c r="BN291" s="109"/>
    </row>
    <row r="292" spans="1:66" x14ac:dyDescent="0.2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09"/>
      <c r="AY292" s="109"/>
      <c r="AZ292" s="109"/>
      <c r="BA292" s="109"/>
      <c r="BB292" s="109"/>
      <c r="BC292" s="109"/>
      <c r="BD292" s="109"/>
      <c r="BE292" s="109"/>
      <c r="BF292" s="109"/>
      <c r="BG292" s="109"/>
      <c r="BH292" s="109"/>
      <c r="BI292" s="109"/>
      <c r="BJ292" s="109"/>
      <c r="BK292" s="109"/>
      <c r="BL292" s="109"/>
      <c r="BM292" s="109"/>
      <c r="BN292" s="109"/>
    </row>
    <row r="293" spans="1:66" x14ac:dyDescent="0.2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  <c r="BA293" s="109"/>
      <c r="BB293" s="109"/>
      <c r="BC293" s="109"/>
      <c r="BD293" s="109"/>
      <c r="BE293" s="109"/>
      <c r="BF293" s="109"/>
      <c r="BG293" s="109"/>
      <c r="BH293" s="109"/>
      <c r="BI293" s="109"/>
      <c r="BJ293" s="109"/>
      <c r="BK293" s="109"/>
      <c r="BL293" s="109"/>
      <c r="BM293" s="109"/>
      <c r="BN293" s="109"/>
    </row>
    <row r="294" spans="1:66" x14ac:dyDescent="0.2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09"/>
      <c r="AY294" s="109"/>
      <c r="AZ294" s="109"/>
      <c r="BA294" s="109"/>
      <c r="BB294" s="109"/>
      <c r="BC294" s="109"/>
      <c r="BD294" s="109"/>
      <c r="BE294" s="109"/>
      <c r="BF294" s="109"/>
      <c r="BG294" s="109"/>
      <c r="BH294" s="109"/>
      <c r="BI294" s="109"/>
      <c r="BJ294" s="109"/>
      <c r="BK294" s="109"/>
      <c r="BL294" s="109"/>
      <c r="BM294" s="109"/>
      <c r="BN294" s="109"/>
    </row>
    <row r="295" spans="1:66" x14ac:dyDescent="0.2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09"/>
      <c r="AY295" s="109"/>
      <c r="AZ295" s="109"/>
      <c r="BA295" s="109"/>
      <c r="BB295" s="109"/>
      <c r="BC295" s="109"/>
      <c r="BD295" s="109"/>
      <c r="BE295" s="109"/>
      <c r="BF295" s="109"/>
      <c r="BG295" s="109"/>
      <c r="BH295" s="109"/>
      <c r="BI295" s="109"/>
      <c r="BJ295" s="109"/>
      <c r="BK295" s="109"/>
      <c r="BL295" s="109"/>
      <c r="BM295" s="109"/>
      <c r="BN295" s="109"/>
    </row>
    <row r="296" spans="1:66" x14ac:dyDescent="0.2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  <c r="AW296" s="109"/>
      <c r="AX296" s="109"/>
      <c r="AY296" s="109"/>
      <c r="AZ296" s="109"/>
      <c r="BA296" s="109"/>
      <c r="BB296" s="109"/>
      <c r="BC296" s="109"/>
      <c r="BD296" s="109"/>
      <c r="BE296" s="109"/>
      <c r="BF296" s="109"/>
      <c r="BG296" s="109"/>
      <c r="BH296" s="109"/>
      <c r="BI296" s="109"/>
      <c r="BJ296" s="109"/>
      <c r="BK296" s="109"/>
      <c r="BL296" s="109"/>
      <c r="BM296" s="109"/>
      <c r="BN296" s="109"/>
    </row>
    <row r="297" spans="1:66" x14ac:dyDescent="0.2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  <c r="BA297" s="109"/>
      <c r="BB297" s="109"/>
      <c r="BC297" s="109"/>
      <c r="BD297" s="109"/>
      <c r="BE297" s="109"/>
      <c r="BF297" s="109"/>
      <c r="BG297" s="109"/>
      <c r="BH297" s="109"/>
      <c r="BI297" s="109"/>
      <c r="BJ297" s="109"/>
      <c r="BK297" s="109"/>
      <c r="BL297" s="109"/>
      <c r="BM297" s="109"/>
      <c r="BN297" s="109"/>
    </row>
    <row r="298" spans="1:66" x14ac:dyDescent="0.2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  <c r="AW298" s="109"/>
      <c r="AX298" s="109"/>
      <c r="AY298" s="109"/>
      <c r="AZ298" s="109"/>
      <c r="BA298" s="109"/>
      <c r="BB298" s="109"/>
      <c r="BC298" s="109"/>
      <c r="BD298" s="109"/>
      <c r="BE298" s="109"/>
      <c r="BF298" s="109"/>
      <c r="BG298" s="109"/>
      <c r="BH298" s="109"/>
      <c r="BI298" s="109"/>
      <c r="BJ298" s="109"/>
      <c r="BK298" s="109"/>
      <c r="BL298" s="109"/>
      <c r="BM298" s="109"/>
      <c r="BN298" s="109"/>
    </row>
    <row r="299" spans="1:66" x14ac:dyDescent="0.2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  <c r="BA299" s="109"/>
      <c r="BB299" s="109"/>
      <c r="BC299" s="109"/>
      <c r="BD299" s="109"/>
      <c r="BE299" s="109"/>
      <c r="BF299" s="109"/>
      <c r="BG299" s="109"/>
      <c r="BH299" s="109"/>
      <c r="BI299" s="109"/>
      <c r="BJ299" s="109"/>
      <c r="BK299" s="109"/>
      <c r="BL299" s="109"/>
      <c r="BM299" s="109"/>
      <c r="BN299" s="109"/>
    </row>
    <row r="300" spans="1:66" x14ac:dyDescent="0.2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  <c r="AW300" s="109"/>
      <c r="AX300" s="109"/>
      <c r="AY300" s="109"/>
      <c r="AZ300" s="109"/>
      <c r="BA300" s="109"/>
      <c r="BB300" s="109"/>
      <c r="BC300" s="109"/>
      <c r="BD300" s="109"/>
      <c r="BE300" s="109"/>
      <c r="BF300" s="109"/>
      <c r="BG300" s="109"/>
      <c r="BH300" s="109"/>
      <c r="BI300" s="109"/>
      <c r="BJ300" s="109"/>
      <c r="BK300" s="109"/>
      <c r="BL300" s="109"/>
      <c r="BM300" s="109"/>
      <c r="BN300" s="109"/>
    </row>
    <row r="301" spans="1:66" x14ac:dyDescent="0.2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  <c r="AW301" s="109"/>
      <c r="AX301" s="109"/>
      <c r="AY301" s="109"/>
      <c r="AZ301" s="109"/>
      <c r="BA301" s="109"/>
      <c r="BB301" s="109"/>
      <c r="BC301" s="109"/>
      <c r="BD301" s="109"/>
      <c r="BE301" s="109"/>
      <c r="BF301" s="109"/>
      <c r="BG301" s="109"/>
      <c r="BH301" s="109"/>
      <c r="BI301" s="109"/>
      <c r="BJ301" s="109"/>
      <c r="BK301" s="109"/>
      <c r="BL301" s="109"/>
      <c r="BM301" s="109"/>
      <c r="BN301" s="109"/>
    </row>
    <row r="302" spans="1:66" x14ac:dyDescent="0.2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  <c r="AW302" s="109"/>
      <c r="AX302" s="109"/>
      <c r="AY302" s="109"/>
      <c r="AZ302" s="109"/>
      <c r="BA302" s="109"/>
      <c r="BB302" s="109"/>
      <c r="BC302" s="109"/>
      <c r="BD302" s="109"/>
      <c r="BE302" s="109"/>
      <c r="BF302" s="109"/>
      <c r="BG302" s="109"/>
      <c r="BH302" s="109"/>
      <c r="BI302" s="109"/>
      <c r="BJ302" s="109"/>
      <c r="BK302" s="109"/>
      <c r="BL302" s="109"/>
      <c r="BM302" s="109"/>
      <c r="BN302" s="109"/>
    </row>
    <row r="303" spans="1:66" x14ac:dyDescent="0.2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  <c r="AW303" s="109"/>
      <c r="AX303" s="109"/>
      <c r="AY303" s="109"/>
      <c r="AZ303" s="109"/>
      <c r="BA303" s="109"/>
      <c r="BB303" s="109"/>
      <c r="BC303" s="109"/>
      <c r="BD303" s="109"/>
      <c r="BE303" s="109"/>
      <c r="BF303" s="109"/>
      <c r="BG303" s="109"/>
      <c r="BH303" s="109"/>
      <c r="BI303" s="109"/>
      <c r="BJ303" s="109"/>
      <c r="BK303" s="109"/>
      <c r="BL303" s="109"/>
      <c r="BM303" s="109"/>
      <c r="BN303" s="109"/>
    </row>
    <row r="304" spans="1:66" x14ac:dyDescent="0.2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  <c r="BA304" s="109"/>
      <c r="BB304" s="109"/>
      <c r="BC304" s="109"/>
      <c r="BD304" s="109"/>
      <c r="BE304" s="109"/>
      <c r="BF304" s="109"/>
      <c r="BG304" s="109"/>
      <c r="BH304" s="109"/>
      <c r="BI304" s="109"/>
      <c r="BJ304" s="109"/>
      <c r="BK304" s="109"/>
      <c r="BL304" s="109"/>
      <c r="BM304" s="109"/>
      <c r="BN304" s="109"/>
    </row>
    <row r="305" spans="1:66" x14ac:dyDescent="0.2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  <c r="BA305" s="109"/>
      <c r="BB305" s="109"/>
      <c r="BC305" s="109"/>
      <c r="BD305" s="109"/>
      <c r="BE305" s="109"/>
      <c r="BF305" s="109"/>
      <c r="BG305" s="109"/>
      <c r="BH305" s="109"/>
      <c r="BI305" s="109"/>
      <c r="BJ305" s="109"/>
      <c r="BK305" s="109"/>
      <c r="BL305" s="109"/>
      <c r="BM305" s="109"/>
      <c r="BN305" s="109"/>
    </row>
    <row r="306" spans="1:66" x14ac:dyDescent="0.2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  <c r="BA306" s="109"/>
      <c r="BB306" s="109"/>
      <c r="BC306" s="109"/>
      <c r="BD306" s="109"/>
      <c r="BE306" s="109"/>
      <c r="BF306" s="109"/>
      <c r="BG306" s="109"/>
      <c r="BH306" s="109"/>
      <c r="BI306" s="109"/>
      <c r="BJ306" s="109"/>
      <c r="BK306" s="109"/>
      <c r="BL306" s="109"/>
      <c r="BM306" s="109"/>
      <c r="BN306" s="109"/>
    </row>
    <row r="307" spans="1:66" x14ac:dyDescent="0.2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  <c r="BA307" s="109"/>
      <c r="BB307" s="109"/>
      <c r="BC307" s="109"/>
      <c r="BD307" s="109"/>
      <c r="BE307" s="109"/>
      <c r="BF307" s="109"/>
      <c r="BG307" s="109"/>
      <c r="BH307" s="109"/>
      <c r="BI307" s="109"/>
      <c r="BJ307" s="109"/>
      <c r="BK307" s="109"/>
      <c r="BL307" s="109"/>
      <c r="BM307" s="109"/>
      <c r="BN307" s="109"/>
    </row>
    <row r="308" spans="1:66" x14ac:dyDescent="0.2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  <c r="BD308" s="109"/>
      <c r="BE308" s="109"/>
      <c r="BF308" s="109"/>
      <c r="BG308" s="109"/>
      <c r="BH308" s="109"/>
      <c r="BI308" s="109"/>
      <c r="BJ308" s="109"/>
      <c r="BK308" s="109"/>
      <c r="BL308" s="109"/>
      <c r="BM308" s="109"/>
      <c r="BN308" s="109"/>
    </row>
    <row r="309" spans="1:66" x14ac:dyDescent="0.2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  <c r="BA309" s="109"/>
      <c r="BB309" s="109"/>
      <c r="BC309" s="109"/>
      <c r="BD309" s="109"/>
      <c r="BE309" s="109"/>
      <c r="BF309" s="109"/>
      <c r="BG309" s="109"/>
      <c r="BH309" s="109"/>
      <c r="BI309" s="109"/>
      <c r="BJ309" s="109"/>
      <c r="BK309" s="109"/>
      <c r="BL309" s="109"/>
      <c r="BM309" s="109"/>
      <c r="BN309" s="109"/>
    </row>
    <row r="310" spans="1:66" x14ac:dyDescent="0.2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  <c r="BA310" s="109"/>
      <c r="BB310" s="109"/>
      <c r="BC310" s="109"/>
      <c r="BD310" s="109"/>
      <c r="BE310" s="109"/>
      <c r="BF310" s="109"/>
      <c r="BG310" s="109"/>
      <c r="BH310" s="109"/>
      <c r="BI310" s="109"/>
      <c r="BJ310" s="109"/>
      <c r="BK310" s="109"/>
      <c r="BL310" s="109"/>
      <c r="BM310" s="109"/>
      <c r="BN310" s="109"/>
    </row>
    <row r="311" spans="1:66" x14ac:dyDescent="0.2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  <c r="AV311" s="109"/>
      <c r="AW311" s="109"/>
      <c r="AX311" s="109"/>
      <c r="AY311" s="109"/>
      <c r="AZ311" s="109"/>
      <c r="BA311" s="109"/>
      <c r="BB311" s="109"/>
      <c r="BC311" s="109"/>
      <c r="BD311" s="109"/>
      <c r="BE311" s="109"/>
      <c r="BF311" s="109"/>
      <c r="BG311" s="109"/>
      <c r="BH311" s="109"/>
      <c r="BI311" s="109"/>
      <c r="BJ311" s="109"/>
      <c r="BK311" s="109"/>
      <c r="BL311" s="109"/>
      <c r="BM311" s="109"/>
      <c r="BN311" s="109"/>
    </row>
    <row r="312" spans="1:66" x14ac:dyDescent="0.2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  <c r="BA312" s="109"/>
      <c r="BB312" s="109"/>
      <c r="BC312" s="109"/>
      <c r="BD312" s="109"/>
      <c r="BE312" s="109"/>
      <c r="BF312" s="109"/>
      <c r="BG312" s="109"/>
      <c r="BH312" s="109"/>
      <c r="BI312" s="109"/>
      <c r="BJ312" s="109"/>
      <c r="BK312" s="109"/>
      <c r="BL312" s="109"/>
      <c r="BM312" s="109"/>
      <c r="BN312" s="109"/>
    </row>
    <row r="313" spans="1:66" x14ac:dyDescent="0.2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  <c r="AV313" s="109"/>
      <c r="AW313" s="109"/>
      <c r="AX313" s="109"/>
      <c r="AY313" s="109"/>
      <c r="AZ313" s="109"/>
      <c r="BA313" s="109"/>
      <c r="BB313" s="109"/>
      <c r="BC313" s="109"/>
      <c r="BD313" s="109"/>
      <c r="BE313" s="109"/>
      <c r="BF313" s="109"/>
      <c r="BG313" s="109"/>
      <c r="BH313" s="109"/>
      <c r="BI313" s="109"/>
      <c r="BJ313" s="109"/>
      <c r="BK313" s="109"/>
      <c r="BL313" s="109"/>
      <c r="BM313" s="109"/>
      <c r="BN313" s="109"/>
    </row>
    <row r="314" spans="1:66" x14ac:dyDescent="0.2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  <c r="AV314" s="109"/>
      <c r="AW314" s="109"/>
      <c r="AX314" s="109"/>
      <c r="AY314" s="109"/>
      <c r="AZ314" s="109"/>
      <c r="BA314" s="109"/>
      <c r="BB314" s="109"/>
      <c r="BC314" s="109"/>
      <c r="BD314" s="109"/>
      <c r="BE314" s="109"/>
      <c r="BF314" s="109"/>
      <c r="BG314" s="109"/>
      <c r="BH314" s="109"/>
      <c r="BI314" s="109"/>
      <c r="BJ314" s="109"/>
      <c r="BK314" s="109"/>
      <c r="BL314" s="109"/>
      <c r="BM314" s="109"/>
      <c r="BN314" s="109"/>
    </row>
    <row r="315" spans="1:66" x14ac:dyDescent="0.2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  <c r="AV315" s="109"/>
      <c r="AW315" s="109"/>
      <c r="AX315" s="109"/>
      <c r="AY315" s="109"/>
      <c r="AZ315" s="109"/>
      <c r="BA315" s="109"/>
      <c r="BB315" s="109"/>
      <c r="BC315" s="109"/>
      <c r="BD315" s="109"/>
      <c r="BE315" s="109"/>
      <c r="BF315" s="109"/>
      <c r="BG315" s="109"/>
      <c r="BH315" s="109"/>
      <c r="BI315" s="109"/>
      <c r="BJ315" s="109"/>
      <c r="BK315" s="109"/>
      <c r="BL315" s="109"/>
      <c r="BM315" s="109"/>
      <c r="BN315" s="109"/>
    </row>
    <row r="316" spans="1:66" x14ac:dyDescent="0.2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  <c r="AW316" s="109"/>
      <c r="AX316" s="109"/>
      <c r="AY316" s="109"/>
      <c r="AZ316" s="109"/>
      <c r="BA316" s="109"/>
      <c r="BB316" s="109"/>
      <c r="BC316" s="109"/>
      <c r="BD316" s="109"/>
      <c r="BE316" s="109"/>
      <c r="BF316" s="109"/>
      <c r="BG316" s="109"/>
      <c r="BH316" s="109"/>
      <c r="BI316" s="109"/>
      <c r="BJ316" s="109"/>
      <c r="BK316" s="109"/>
      <c r="BL316" s="109"/>
      <c r="BM316" s="109"/>
      <c r="BN316" s="109"/>
    </row>
    <row r="317" spans="1:66" x14ac:dyDescent="0.2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  <c r="BA317" s="109"/>
      <c r="BB317" s="109"/>
      <c r="BC317" s="109"/>
      <c r="BD317" s="109"/>
      <c r="BE317" s="109"/>
      <c r="BF317" s="109"/>
      <c r="BG317" s="109"/>
      <c r="BH317" s="109"/>
      <c r="BI317" s="109"/>
      <c r="BJ317" s="109"/>
      <c r="BK317" s="109"/>
      <c r="BL317" s="109"/>
      <c r="BM317" s="109"/>
      <c r="BN317" s="109"/>
    </row>
    <row r="318" spans="1:66" x14ac:dyDescent="0.2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  <c r="AW318" s="109"/>
      <c r="AX318" s="109"/>
      <c r="AY318" s="109"/>
      <c r="AZ318" s="109"/>
      <c r="BA318" s="109"/>
      <c r="BB318" s="109"/>
      <c r="BC318" s="109"/>
      <c r="BD318" s="109"/>
      <c r="BE318" s="109"/>
      <c r="BF318" s="109"/>
      <c r="BG318" s="109"/>
      <c r="BH318" s="109"/>
      <c r="BI318" s="109"/>
      <c r="BJ318" s="109"/>
      <c r="BK318" s="109"/>
      <c r="BL318" s="109"/>
      <c r="BM318" s="109"/>
      <c r="BN318" s="109"/>
    </row>
    <row r="319" spans="1:66" x14ac:dyDescent="0.2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  <c r="BA319" s="109"/>
      <c r="BB319" s="109"/>
      <c r="BC319" s="109"/>
      <c r="BD319" s="109"/>
      <c r="BE319" s="109"/>
      <c r="BF319" s="109"/>
      <c r="BG319" s="109"/>
      <c r="BH319" s="109"/>
      <c r="BI319" s="109"/>
      <c r="BJ319" s="109"/>
      <c r="BK319" s="109"/>
      <c r="BL319" s="109"/>
      <c r="BM319" s="109"/>
      <c r="BN319" s="109"/>
    </row>
    <row r="320" spans="1:66" x14ac:dyDescent="0.2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  <c r="AW320" s="109"/>
      <c r="AX320" s="109"/>
      <c r="AY320" s="109"/>
      <c r="AZ320" s="109"/>
      <c r="BA320" s="109"/>
      <c r="BB320" s="109"/>
      <c r="BC320" s="109"/>
      <c r="BD320" s="109"/>
      <c r="BE320" s="109"/>
      <c r="BF320" s="109"/>
      <c r="BG320" s="109"/>
      <c r="BH320" s="109"/>
      <c r="BI320" s="109"/>
      <c r="BJ320" s="109"/>
      <c r="BK320" s="109"/>
      <c r="BL320" s="109"/>
      <c r="BM320" s="109"/>
      <c r="BN320" s="109"/>
    </row>
    <row r="321" spans="1:66" x14ac:dyDescent="0.2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  <c r="AW321" s="109"/>
      <c r="AX321" s="109"/>
      <c r="AY321" s="109"/>
      <c r="AZ321" s="109"/>
      <c r="BA321" s="109"/>
      <c r="BB321" s="109"/>
      <c r="BC321" s="109"/>
      <c r="BD321" s="109"/>
      <c r="BE321" s="109"/>
      <c r="BF321" s="109"/>
      <c r="BG321" s="109"/>
      <c r="BH321" s="109"/>
      <c r="BI321" s="109"/>
      <c r="BJ321" s="109"/>
      <c r="BK321" s="109"/>
      <c r="BL321" s="109"/>
      <c r="BM321" s="109"/>
      <c r="BN321" s="109"/>
    </row>
    <row r="322" spans="1:66" x14ac:dyDescent="0.2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  <c r="BA322" s="109"/>
      <c r="BB322" s="109"/>
      <c r="BC322" s="109"/>
      <c r="BD322" s="109"/>
      <c r="BE322" s="109"/>
      <c r="BF322" s="109"/>
      <c r="BG322" s="109"/>
      <c r="BH322" s="109"/>
      <c r="BI322" s="109"/>
      <c r="BJ322" s="109"/>
      <c r="BK322" s="109"/>
      <c r="BL322" s="109"/>
      <c r="BM322" s="109"/>
      <c r="BN322" s="109"/>
    </row>
    <row r="323" spans="1:66" x14ac:dyDescent="0.2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  <c r="AW323" s="109"/>
      <c r="AX323" s="109"/>
      <c r="AY323" s="109"/>
      <c r="AZ323" s="109"/>
      <c r="BA323" s="109"/>
      <c r="BB323" s="109"/>
      <c r="BC323" s="109"/>
      <c r="BD323" s="109"/>
      <c r="BE323" s="109"/>
      <c r="BF323" s="109"/>
      <c r="BG323" s="109"/>
      <c r="BH323" s="109"/>
      <c r="BI323" s="109"/>
      <c r="BJ323" s="109"/>
      <c r="BK323" s="109"/>
      <c r="BL323" s="109"/>
      <c r="BM323" s="109"/>
      <c r="BN323" s="109"/>
    </row>
    <row r="324" spans="1:66" x14ac:dyDescent="0.2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  <c r="AW324" s="109"/>
      <c r="AX324" s="109"/>
      <c r="AY324" s="109"/>
      <c r="AZ324" s="109"/>
      <c r="BA324" s="109"/>
      <c r="BB324" s="109"/>
      <c r="BC324" s="109"/>
      <c r="BD324" s="109"/>
      <c r="BE324" s="109"/>
      <c r="BF324" s="109"/>
      <c r="BG324" s="109"/>
      <c r="BH324" s="109"/>
      <c r="BI324" s="109"/>
      <c r="BJ324" s="109"/>
      <c r="BK324" s="109"/>
      <c r="BL324" s="109"/>
      <c r="BM324" s="109"/>
      <c r="BN324" s="109"/>
    </row>
    <row r="325" spans="1:66" x14ac:dyDescent="0.2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  <c r="AW325" s="109"/>
      <c r="AX325" s="109"/>
      <c r="AY325" s="109"/>
      <c r="AZ325" s="109"/>
      <c r="BA325" s="109"/>
      <c r="BB325" s="109"/>
      <c r="BC325" s="109"/>
      <c r="BD325" s="109"/>
      <c r="BE325" s="109"/>
      <c r="BF325" s="109"/>
      <c r="BG325" s="109"/>
      <c r="BH325" s="109"/>
      <c r="BI325" s="109"/>
      <c r="BJ325" s="109"/>
      <c r="BK325" s="109"/>
      <c r="BL325" s="109"/>
      <c r="BM325" s="109"/>
      <c r="BN325" s="109"/>
    </row>
    <row r="326" spans="1:66" x14ac:dyDescent="0.2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  <c r="AW326" s="109"/>
      <c r="AX326" s="109"/>
      <c r="AY326" s="109"/>
      <c r="AZ326" s="109"/>
      <c r="BA326" s="109"/>
      <c r="BB326" s="109"/>
      <c r="BC326" s="109"/>
      <c r="BD326" s="109"/>
      <c r="BE326" s="109"/>
      <c r="BF326" s="109"/>
      <c r="BG326" s="109"/>
      <c r="BH326" s="109"/>
      <c r="BI326" s="109"/>
      <c r="BJ326" s="109"/>
      <c r="BK326" s="109"/>
      <c r="BL326" s="109"/>
      <c r="BM326" s="109"/>
      <c r="BN326" s="109"/>
    </row>
    <row r="327" spans="1:66" x14ac:dyDescent="0.2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  <c r="AW327" s="109"/>
      <c r="AX327" s="109"/>
      <c r="AY327" s="109"/>
      <c r="AZ327" s="109"/>
      <c r="BA327" s="109"/>
      <c r="BB327" s="109"/>
      <c r="BC327" s="109"/>
      <c r="BD327" s="109"/>
      <c r="BE327" s="109"/>
      <c r="BF327" s="109"/>
      <c r="BG327" s="109"/>
      <c r="BH327" s="109"/>
      <c r="BI327" s="109"/>
      <c r="BJ327" s="109"/>
      <c r="BK327" s="109"/>
      <c r="BL327" s="109"/>
      <c r="BM327" s="109"/>
      <c r="BN327" s="109"/>
    </row>
    <row r="328" spans="1:66" x14ac:dyDescent="0.2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AY328" s="109"/>
      <c r="AZ328" s="109"/>
      <c r="BA328" s="109"/>
      <c r="BB328" s="109"/>
      <c r="BC328" s="109"/>
      <c r="BD328" s="109"/>
      <c r="BE328" s="109"/>
      <c r="BF328" s="109"/>
      <c r="BG328" s="109"/>
      <c r="BH328" s="109"/>
      <c r="BI328" s="109"/>
      <c r="BJ328" s="109"/>
      <c r="BK328" s="109"/>
      <c r="BL328" s="109"/>
      <c r="BM328" s="109"/>
      <c r="BN328" s="109"/>
    </row>
    <row r="329" spans="1:66" x14ac:dyDescent="0.2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  <c r="BA329" s="109"/>
      <c r="BB329" s="109"/>
      <c r="BC329" s="109"/>
      <c r="BD329" s="109"/>
      <c r="BE329" s="109"/>
      <c r="BF329" s="109"/>
      <c r="BG329" s="109"/>
      <c r="BH329" s="109"/>
      <c r="BI329" s="109"/>
      <c r="BJ329" s="109"/>
      <c r="BK329" s="109"/>
      <c r="BL329" s="109"/>
      <c r="BM329" s="109"/>
      <c r="BN329" s="109"/>
    </row>
    <row r="330" spans="1:66" x14ac:dyDescent="0.2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  <c r="BA330" s="109"/>
      <c r="BB330" s="109"/>
      <c r="BC330" s="109"/>
      <c r="BD330" s="109"/>
      <c r="BE330" s="109"/>
      <c r="BF330" s="109"/>
      <c r="BG330" s="109"/>
      <c r="BH330" s="109"/>
      <c r="BI330" s="109"/>
      <c r="BJ330" s="109"/>
      <c r="BK330" s="109"/>
      <c r="BL330" s="109"/>
      <c r="BM330" s="109"/>
      <c r="BN330" s="109"/>
    </row>
    <row r="331" spans="1:66" x14ac:dyDescent="0.2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  <c r="BA331" s="109"/>
      <c r="BB331" s="109"/>
      <c r="BC331" s="109"/>
      <c r="BD331" s="109"/>
      <c r="BE331" s="109"/>
      <c r="BF331" s="109"/>
      <c r="BG331" s="109"/>
      <c r="BH331" s="109"/>
      <c r="BI331" s="109"/>
      <c r="BJ331" s="109"/>
      <c r="BK331" s="109"/>
      <c r="BL331" s="109"/>
      <c r="BM331" s="109"/>
      <c r="BN331" s="109"/>
    </row>
    <row r="332" spans="1:66" x14ac:dyDescent="0.2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  <c r="BA332" s="109"/>
      <c r="BB332" s="109"/>
      <c r="BC332" s="109"/>
      <c r="BD332" s="109"/>
      <c r="BE332" s="109"/>
      <c r="BF332" s="109"/>
      <c r="BG332" s="109"/>
      <c r="BH332" s="109"/>
      <c r="BI332" s="109"/>
      <c r="BJ332" s="109"/>
      <c r="BK332" s="109"/>
      <c r="BL332" s="109"/>
      <c r="BM332" s="109"/>
      <c r="BN332" s="109"/>
    </row>
    <row r="333" spans="1:66" x14ac:dyDescent="0.2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  <c r="BA333" s="109"/>
      <c r="BB333" s="109"/>
      <c r="BC333" s="109"/>
      <c r="BD333" s="109"/>
      <c r="BE333" s="109"/>
      <c r="BF333" s="109"/>
      <c r="BG333" s="109"/>
      <c r="BH333" s="109"/>
      <c r="BI333" s="109"/>
      <c r="BJ333" s="109"/>
      <c r="BK333" s="109"/>
      <c r="BL333" s="109"/>
      <c r="BM333" s="109"/>
      <c r="BN333" s="109"/>
    </row>
    <row r="334" spans="1:66" x14ac:dyDescent="0.2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  <c r="BA334" s="109"/>
      <c r="BB334" s="109"/>
      <c r="BC334" s="109"/>
      <c r="BD334" s="109"/>
      <c r="BE334" s="109"/>
      <c r="BF334" s="109"/>
      <c r="BG334" s="109"/>
      <c r="BH334" s="109"/>
      <c r="BI334" s="109"/>
      <c r="BJ334" s="109"/>
      <c r="BK334" s="109"/>
      <c r="BL334" s="109"/>
      <c r="BM334" s="109"/>
      <c r="BN334" s="109"/>
    </row>
    <row r="335" spans="1:66" x14ac:dyDescent="0.2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  <c r="BA335" s="109"/>
      <c r="BB335" s="109"/>
      <c r="BC335" s="109"/>
      <c r="BD335" s="109"/>
      <c r="BE335" s="109"/>
      <c r="BF335" s="109"/>
      <c r="BG335" s="109"/>
      <c r="BH335" s="109"/>
      <c r="BI335" s="109"/>
      <c r="BJ335" s="109"/>
      <c r="BK335" s="109"/>
      <c r="BL335" s="109"/>
      <c r="BM335" s="109"/>
      <c r="BN335" s="109"/>
    </row>
    <row r="336" spans="1:66" x14ac:dyDescent="0.2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  <c r="BA336" s="109"/>
      <c r="BB336" s="109"/>
      <c r="BC336" s="109"/>
      <c r="BD336" s="109"/>
      <c r="BE336" s="109"/>
      <c r="BF336" s="109"/>
      <c r="BG336" s="109"/>
      <c r="BH336" s="109"/>
      <c r="BI336" s="109"/>
      <c r="BJ336" s="109"/>
      <c r="BK336" s="109"/>
      <c r="BL336" s="109"/>
      <c r="BM336" s="109"/>
      <c r="BN336" s="109"/>
    </row>
    <row r="337" spans="1:66" x14ac:dyDescent="0.2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AY337" s="109"/>
      <c r="AZ337" s="109"/>
      <c r="BA337" s="109"/>
      <c r="BB337" s="109"/>
      <c r="BC337" s="109"/>
      <c r="BD337" s="109"/>
      <c r="BE337" s="109"/>
      <c r="BF337" s="109"/>
      <c r="BG337" s="109"/>
      <c r="BH337" s="109"/>
      <c r="BI337" s="109"/>
      <c r="BJ337" s="109"/>
      <c r="BK337" s="109"/>
      <c r="BL337" s="109"/>
      <c r="BM337" s="109"/>
      <c r="BN337" s="109"/>
    </row>
    <row r="338" spans="1:66" x14ac:dyDescent="0.2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AY338" s="109"/>
      <c r="AZ338" s="109"/>
      <c r="BA338" s="109"/>
      <c r="BB338" s="109"/>
      <c r="BC338" s="109"/>
      <c r="BD338" s="109"/>
      <c r="BE338" s="109"/>
      <c r="BF338" s="109"/>
      <c r="BG338" s="109"/>
      <c r="BH338" s="109"/>
      <c r="BI338" s="109"/>
      <c r="BJ338" s="109"/>
      <c r="BK338" s="109"/>
      <c r="BL338" s="109"/>
      <c r="BM338" s="109"/>
      <c r="BN338" s="109"/>
    </row>
    <row r="339" spans="1:66" x14ac:dyDescent="0.2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AY339" s="109"/>
      <c r="AZ339" s="109"/>
      <c r="BA339" s="109"/>
      <c r="BB339" s="109"/>
      <c r="BC339" s="109"/>
      <c r="BD339" s="109"/>
      <c r="BE339" s="109"/>
      <c r="BF339" s="109"/>
      <c r="BG339" s="109"/>
      <c r="BH339" s="109"/>
      <c r="BI339" s="109"/>
      <c r="BJ339" s="109"/>
      <c r="BK339" s="109"/>
      <c r="BL339" s="109"/>
      <c r="BM339" s="109"/>
      <c r="BN339" s="109"/>
    </row>
    <row r="340" spans="1:66" x14ac:dyDescent="0.2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AY340" s="109"/>
      <c r="AZ340" s="109"/>
      <c r="BA340" s="109"/>
      <c r="BB340" s="109"/>
      <c r="BC340" s="109"/>
      <c r="BD340" s="109"/>
      <c r="BE340" s="109"/>
      <c r="BF340" s="109"/>
      <c r="BG340" s="109"/>
      <c r="BH340" s="109"/>
      <c r="BI340" s="109"/>
      <c r="BJ340" s="109"/>
      <c r="BK340" s="109"/>
      <c r="BL340" s="109"/>
      <c r="BM340" s="109"/>
      <c r="BN340" s="109"/>
    </row>
    <row r="341" spans="1:66" x14ac:dyDescent="0.2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  <c r="BA341" s="109"/>
      <c r="BB341" s="109"/>
      <c r="BC341" s="109"/>
      <c r="BD341" s="109"/>
      <c r="BE341" s="109"/>
      <c r="BF341" s="109"/>
      <c r="BG341" s="109"/>
      <c r="BH341" s="109"/>
      <c r="BI341" s="109"/>
      <c r="BJ341" s="109"/>
      <c r="BK341" s="109"/>
      <c r="BL341" s="109"/>
      <c r="BM341" s="109"/>
      <c r="BN341" s="109"/>
    </row>
    <row r="342" spans="1:66" x14ac:dyDescent="0.2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  <c r="BA342" s="109"/>
      <c r="BB342" s="109"/>
      <c r="BC342" s="109"/>
      <c r="BD342" s="109"/>
      <c r="BE342" s="109"/>
      <c r="BF342" s="109"/>
      <c r="BG342" s="109"/>
      <c r="BH342" s="109"/>
      <c r="BI342" s="109"/>
      <c r="BJ342" s="109"/>
      <c r="BK342" s="109"/>
      <c r="BL342" s="109"/>
      <c r="BM342" s="109"/>
      <c r="BN342" s="109"/>
    </row>
    <row r="343" spans="1:66" x14ac:dyDescent="0.2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  <c r="BA343" s="109"/>
      <c r="BB343" s="109"/>
      <c r="BC343" s="109"/>
      <c r="BD343" s="109"/>
      <c r="BE343" s="109"/>
      <c r="BF343" s="109"/>
      <c r="BG343" s="109"/>
      <c r="BH343" s="109"/>
      <c r="BI343" s="109"/>
      <c r="BJ343" s="109"/>
      <c r="BK343" s="109"/>
      <c r="BL343" s="109"/>
      <c r="BM343" s="109"/>
      <c r="BN343" s="109"/>
    </row>
    <row r="344" spans="1:66" x14ac:dyDescent="0.2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  <c r="BA344" s="109"/>
      <c r="BB344" s="109"/>
      <c r="BC344" s="109"/>
      <c r="BD344" s="109"/>
      <c r="BE344" s="109"/>
      <c r="BF344" s="109"/>
      <c r="BG344" s="109"/>
      <c r="BH344" s="109"/>
      <c r="BI344" s="109"/>
      <c r="BJ344" s="109"/>
      <c r="BK344" s="109"/>
      <c r="BL344" s="109"/>
      <c r="BM344" s="109"/>
      <c r="BN344" s="109"/>
    </row>
    <row r="345" spans="1:66" x14ac:dyDescent="0.2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  <c r="BA345" s="109"/>
      <c r="BB345" s="109"/>
      <c r="BC345" s="109"/>
      <c r="BD345" s="109"/>
      <c r="BE345" s="109"/>
      <c r="BF345" s="109"/>
      <c r="BG345" s="109"/>
      <c r="BH345" s="109"/>
      <c r="BI345" s="109"/>
      <c r="BJ345" s="109"/>
      <c r="BK345" s="109"/>
      <c r="BL345" s="109"/>
      <c r="BM345" s="109"/>
      <c r="BN345" s="109"/>
    </row>
    <row r="346" spans="1:66" x14ac:dyDescent="0.2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  <c r="BA346" s="109"/>
      <c r="BB346" s="109"/>
      <c r="BC346" s="109"/>
      <c r="BD346" s="109"/>
      <c r="BE346" s="109"/>
      <c r="BF346" s="109"/>
      <c r="BG346" s="109"/>
      <c r="BH346" s="109"/>
      <c r="BI346" s="109"/>
      <c r="BJ346" s="109"/>
      <c r="BK346" s="109"/>
      <c r="BL346" s="109"/>
      <c r="BM346" s="109"/>
      <c r="BN346" s="109"/>
    </row>
    <row r="347" spans="1:66" x14ac:dyDescent="0.2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  <c r="BA347" s="109"/>
      <c r="BB347" s="109"/>
      <c r="BC347" s="109"/>
      <c r="BD347" s="109"/>
      <c r="BE347" s="109"/>
      <c r="BF347" s="109"/>
      <c r="BG347" s="109"/>
      <c r="BH347" s="109"/>
      <c r="BI347" s="109"/>
      <c r="BJ347" s="109"/>
      <c r="BK347" s="109"/>
      <c r="BL347" s="109"/>
      <c r="BM347" s="109"/>
      <c r="BN347" s="109"/>
    </row>
    <row r="348" spans="1:66" x14ac:dyDescent="0.2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AY348" s="109"/>
      <c r="AZ348" s="109"/>
      <c r="BA348" s="109"/>
      <c r="BB348" s="109"/>
      <c r="BC348" s="109"/>
      <c r="BD348" s="109"/>
      <c r="BE348" s="109"/>
      <c r="BF348" s="109"/>
      <c r="BG348" s="109"/>
      <c r="BH348" s="109"/>
      <c r="BI348" s="109"/>
      <c r="BJ348" s="109"/>
      <c r="BK348" s="109"/>
      <c r="BL348" s="109"/>
      <c r="BM348" s="109"/>
      <c r="BN348" s="109"/>
    </row>
    <row r="349" spans="1:66" x14ac:dyDescent="0.2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AY349" s="109"/>
      <c r="AZ349" s="109"/>
      <c r="BA349" s="109"/>
      <c r="BB349" s="109"/>
      <c r="BC349" s="109"/>
      <c r="BD349" s="109"/>
      <c r="BE349" s="109"/>
      <c r="BF349" s="109"/>
      <c r="BG349" s="109"/>
      <c r="BH349" s="109"/>
      <c r="BI349" s="109"/>
      <c r="BJ349" s="109"/>
      <c r="BK349" s="109"/>
      <c r="BL349" s="109"/>
      <c r="BM349" s="109"/>
      <c r="BN349" s="109"/>
    </row>
    <row r="350" spans="1:66" x14ac:dyDescent="0.2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AY350" s="109"/>
      <c r="AZ350" s="109"/>
      <c r="BA350" s="109"/>
      <c r="BB350" s="109"/>
      <c r="BC350" s="109"/>
      <c r="BD350" s="109"/>
      <c r="BE350" s="109"/>
      <c r="BF350" s="109"/>
      <c r="BG350" s="109"/>
      <c r="BH350" s="109"/>
      <c r="BI350" s="109"/>
      <c r="BJ350" s="109"/>
      <c r="BK350" s="109"/>
      <c r="BL350" s="109"/>
      <c r="BM350" s="109"/>
      <c r="BN350" s="109"/>
    </row>
    <row r="351" spans="1:66" x14ac:dyDescent="0.2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AY351" s="109"/>
      <c r="AZ351" s="109"/>
      <c r="BA351" s="109"/>
      <c r="BB351" s="109"/>
      <c r="BC351" s="109"/>
      <c r="BD351" s="109"/>
      <c r="BE351" s="109"/>
      <c r="BF351" s="109"/>
      <c r="BG351" s="109"/>
      <c r="BH351" s="109"/>
      <c r="BI351" s="109"/>
      <c r="BJ351" s="109"/>
      <c r="BK351" s="109"/>
      <c r="BL351" s="109"/>
      <c r="BM351" s="109"/>
      <c r="BN351" s="109"/>
    </row>
    <row r="352" spans="1:66" x14ac:dyDescent="0.2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  <c r="AW352" s="109"/>
      <c r="AX352" s="109"/>
      <c r="AY352" s="109"/>
      <c r="AZ352" s="109"/>
      <c r="BA352" s="109"/>
      <c r="BB352" s="109"/>
      <c r="BC352" s="109"/>
      <c r="BD352" s="109"/>
      <c r="BE352" s="109"/>
      <c r="BF352" s="109"/>
      <c r="BG352" s="109"/>
      <c r="BH352" s="109"/>
      <c r="BI352" s="109"/>
      <c r="BJ352" s="109"/>
      <c r="BK352" s="109"/>
      <c r="BL352" s="109"/>
      <c r="BM352" s="109"/>
      <c r="BN352" s="109"/>
    </row>
    <row r="353" spans="1:66" x14ac:dyDescent="0.2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  <c r="AW353" s="109"/>
      <c r="AX353" s="109"/>
      <c r="AY353" s="109"/>
      <c r="AZ353" s="109"/>
      <c r="BA353" s="109"/>
      <c r="BB353" s="109"/>
      <c r="BC353" s="109"/>
      <c r="BD353" s="109"/>
      <c r="BE353" s="109"/>
      <c r="BF353" s="109"/>
      <c r="BG353" s="109"/>
      <c r="BH353" s="109"/>
      <c r="BI353" s="109"/>
      <c r="BJ353" s="109"/>
      <c r="BK353" s="109"/>
      <c r="BL353" s="109"/>
      <c r="BM353" s="109"/>
      <c r="BN353" s="109"/>
    </row>
    <row r="354" spans="1:66" x14ac:dyDescent="0.2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  <c r="AW354" s="109"/>
      <c r="AX354" s="109"/>
      <c r="AY354" s="109"/>
      <c r="AZ354" s="109"/>
      <c r="BA354" s="109"/>
      <c r="BB354" s="109"/>
      <c r="BC354" s="109"/>
      <c r="BD354" s="109"/>
      <c r="BE354" s="109"/>
      <c r="BF354" s="109"/>
      <c r="BG354" s="109"/>
      <c r="BH354" s="109"/>
      <c r="BI354" s="109"/>
      <c r="BJ354" s="109"/>
      <c r="BK354" s="109"/>
      <c r="BL354" s="109"/>
      <c r="BM354" s="109"/>
      <c r="BN354" s="109"/>
    </row>
    <row r="355" spans="1:66" x14ac:dyDescent="0.2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  <c r="AV355" s="109"/>
      <c r="AW355" s="109"/>
      <c r="AX355" s="109"/>
      <c r="AY355" s="109"/>
      <c r="AZ355" s="109"/>
      <c r="BA355" s="109"/>
      <c r="BB355" s="109"/>
      <c r="BC355" s="109"/>
      <c r="BD355" s="109"/>
      <c r="BE355" s="109"/>
      <c r="BF355" s="109"/>
      <c r="BG355" s="109"/>
      <c r="BH355" s="109"/>
      <c r="BI355" s="109"/>
      <c r="BJ355" s="109"/>
      <c r="BK355" s="109"/>
      <c r="BL355" s="109"/>
      <c r="BM355" s="109"/>
      <c r="BN355" s="109"/>
    </row>
    <row r="356" spans="1:66" x14ac:dyDescent="0.2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  <c r="BA356" s="109"/>
      <c r="BB356" s="109"/>
      <c r="BC356" s="109"/>
      <c r="BD356" s="109"/>
      <c r="BE356" s="109"/>
      <c r="BF356" s="109"/>
      <c r="BG356" s="109"/>
      <c r="BH356" s="109"/>
      <c r="BI356" s="109"/>
      <c r="BJ356" s="109"/>
      <c r="BK356" s="109"/>
      <c r="BL356" s="109"/>
      <c r="BM356" s="109"/>
      <c r="BN356" s="109"/>
    </row>
    <row r="357" spans="1:66" x14ac:dyDescent="0.2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  <c r="BA357" s="109"/>
      <c r="BB357" s="109"/>
      <c r="BC357" s="109"/>
      <c r="BD357" s="109"/>
      <c r="BE357" s="109"/>
      <c r="BF357" s="109"/>
      <c r="BG357" s="109"/>
      <c r="BH357" s="109"/>
      <c r="BI357" s="109"/>
      <c r="BJ357" s="109"/>
      <c r="BK357" s="109"/>
      <c r="BL357" s="109"/>
      <c r="BM357" s="109"/>
      <c r="BN357" s="109"/>
    </row>
    <row r="358" spans="1:66" x14ac:dyDescent="0.2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  <c r="AV358" s="109"/>
      <c r="AW358" s="109"/>
      <c r="AX358" s="109"/>
      <c r="AY358" s="109"/>
      <c r="AZ358" s="109"/>
      <c r="BA358" s="109"/>
      <c r="BB358" s="109"/>
      <c r="BC358" s="109"/>
      <c r="BD358" s="109"/>
      <c r="BE358" s="109"/>
      <c r="BF358" s="109"/>
      <c r="BG358" s="109"/>
      <c r="BH358" s="109"/>
      <c r="BI358" s="109"/>
      <c r="BJ358" s="109"/>
      <c r="BK358" s="109"/>
      <c r="BL358" s="109"/>
      <c r="BM358" s="109"/>
      <c r="BN358" s="109"/>
    </row>
    <row r="359" spans="1:66" x14ac:dyDescent="0.2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  <c r="AV359" s="109"/>
      <c r="AW359" s="109"/>
      <c r="AX359" s="109"/>
      <c r="AY359" s="109"/>
      <c r="AZ359" s="109"/>
      <c r="BA359" s="109"/>
      <c r="BB359" s="109"/>
      <c r="BC359" s="109"/>
      <c r="BD359" s="109"/>
      <c r="BE359" s="109"/>
      <c r="BF359" s="109"/>
      <c r="BG359" s="109"/>
      <c r="BH359" s="109"/>
      <c r="BI359" s="109"/>
      <c r="BJ359" s="109"/>
      <c r="BK359" s="109"/>
      <c r="BL359" s="109"/>
      <c r="BM359" s="109"/>
      <c r="BN359" s="109"/>
    </row>
    <row r="360" spans="1:66" x14ac:dyDescent="0.2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  <c r="BA360" s="109"/>
      <c r="BB360" s="109"/>
      <c r="BC360" s="109"/>
      <c r="BD360" s="109"/>
      <c r="BE360" s="109"/>
      <c r="BF360" s="109"/>
      <c r="BG360" s="109"/>
      <c r="BH360" s="109"/>
      <c r="BI360" s="109"/>
      <c r="BJ360" s="109"/>
      <c r="BK360" s="109"/>
      <c r="BL360" s="109"/>
      <c r="BM360" s="109"/>
      <c r="BN360" s="109"/>
    </row>
    <row r="361" spans="1:66" x14ac:dyDescent="0.2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  <c r="AW361" s="109"/>
      <c r="AX361" s="109"/>
      <c r="AY361" s="109"/>
      <c r="AZ361" s="109"/>
      <c r="BA361" s="109"/>
      <c r="BB361" s="109"/>
      <c r="BC361" s="109"/>
      <c r="BD361" s="109"/>
      <c r="BE361" s="109"/>
      <c r="BF361" s="109"/>
      <c r="BG361" s="109"/>
      <c r="BH361" s="109"/>
      <c r="BI361" s="109"/>
      <c r="BJ361" s="109"/>
      <c r="BK361" s="109"/>
      <c r="BL361" s="109"/>
      <c r="BM361" s="109"/>
      <c r="BN361" s="109"/>
    </row>
    <row r="362" spans="1:66" x14ac:dyDescent="0.2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  <c r="AW362" s="109"/>
      <c r="AX362" s="109"/>
      <c r="AY362" s="109"/>
      <c r="AZ362" s="109"/>
      <c r="BA362" s="109"/>
      <c r="BB362" s="109"/>
      <c r="BC362" s="109"/>
      <c r="BD362" s="109"/>
      <c r="BE362" s="109"/>
      <c r="BF362" s="109"/>
      <c r="BG362" s="109"/>
      <c r="BH362" s="109"/>
      <c r="BI362" s="109"/>
      <c r="BJ362" s="109"/>
      <c r="BK362" s="109"/>
      <c r="BL362" s="109"/>
      <c r="BM362" s="109"/>
      <c r="BN362" s="109"/>
    </row>
    <row r="363" spans="1:66" x14ac:dyDescent="0.2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  <c r="AW363" s="109"/>
      <c r="AX363" s="109"/>
      <c r="AY363" s="109"/>
      <c r="AZ363" s="109"/>
      <c r="BA363" s="109"/>
      <c r="BB363" s="109"/>
      <c r="BC363" s="109"/>
      <c r="BD363" s="109"/>
      <c r="BE363" s="109"/>
      <c r="BF363" s="109"/>
      <c r="BG363" s="109"/>
      <c r="BH363" s="109"/>
      <c r="BI363" s="109"/>
      <c r="BJ363" s="109"/>
      <c r="BK363" s="109"/>
      <c r="BL363" s="109"/>
      <c r="BM363" s="109"/>
      <c r="BN363" s="109"/>
    </row>
    <row r="364" spans="1:66" x14ac:dyDescent="0.2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  <c r="AW364" s="109"/>
      <c r="AX364" s="109"/>
      <c r="AY364" s="109"/>
      <c r="AZ364" s="109"/>
      <c r="BA364" s="109"/>
      <c r="BB364" s="109"/>
      <c r="BC364" s="109"/>
      <c r="BD364" s="109"/>
      <c r="BE364" s="109"/>
      <c r="BF364" s="109"/>
      <c r="BG364" s="109"/>
      <c r="BH364" s="109"/>
      <c r="BI364" s="109"/>
      <c r="BJ364" s="109"/>
      <c r="BK364" s="109"/>
      <c r="BL364" s="109"/>
      <c r="BM364" s="109"/>
      <c r="BN364" s="109"/>
    </row>
    <row r="365" spans="1:66" x14ac:dyDescent="0.2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  <c r="AV365" s="109"/>
      <c r="AW365" s="109"/>
      <c r="AX365" s="109"/>
      <c r="AY365" s="109"/>
      <c r="AZ365" s="109"/>
      <c r="BA365" s="109"/>
      <c r="BB365" s="109"/>
      <c r="BC365" s="109"/>
      <c r="BD365" s="109"/>
      <c r="BE365" s="109"/>
      <c r="BF365" s="109"/>
      <c r="BG365" s="109"/>
      <c r="BH365" s="109"/>
      <c r="BI365" s="109"/>
      <c r="BJ365" s="109"/>
      <c r="BK365" s="109"/>
      <c r="BL365" s="109"/>
      <c r="BM365" s="109"/>
      <c r="BN365" s="109"/>
    </row>
    <row r="366" spans="1:66" x14ac:dyDescent="0.2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  <c r="AT366" s="109"/>
      <c r="AU366" s="109"/>
      <c r="AV366" s="109"/>
      <c r="AW366" s="109"/>
      <c r="AX366" s="109"/>
      <c r="AY366" s="109"/>
      <c r="AZ366" s="109"/>
      <c r="BA366" s="109"/>
      <c r="BB366" s="109"/>
      <c r="BC366" s="109"/>
      <c r="BD366" s="109"/>
      <c r="BE366" s="109"/>
      <c r="BF366" s="109"/>
      <c r="BG366" s="109"/>
      <c r="BH366" s="109"/>
      <c r="BI366" s="109"/>
      <c r="BJ366" s="109"/>
      <c r="BK366" s="109"/>
      <c r="BL366" s="109"/>
      <c r="BM366" s="109"/>
      <c r="BN366" s="109"/>
    </row>
    <row r="367" spans="1:66" x14ac:dyDescent="0.2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  <c r="AT367" s="109"/>
      <c r="AU367" s="109"/>
      <c r="AV367" s="109"/>
      <c r="AW367" s="109"/>
      <c r="AX367" s="109"/>
      <c r="AY367" s="109"/>
      <c r="AZ367" s="109"/>
      <c r="BA367" s="109"/>
      <c r="BB367" s="109"/>
      <c r="BC367" s="109"/>
      <c r="BD367" s="109"/>
      <c r="BE367" s="109"/>
      <c r="BF367" s="109"/>
      <c r="BG367" s="109"/>
      <c r="BH367" s="109"/>
      <c r="BI367" s="109"/>
      <c r="BJ367" s="109"/>
      <c r="BK367" s="109"/>
      <c r="BL367" s="109"/>
      <c r="BM367" s="109"/>
      <c r="BN367" s="109"/>
    </row>
    <row r="368" spans="1:66" x14ac:dyDescent="0.2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  <c r="AT368" s="109"/>
      <c r="AU368" s="109"/>
      <c r="AV368" s="109"/>
      <c r="AW368" s="109"/>
      <c r="AX368" s="109"/>
      <c r="AY368" s="109"/>
      <c r="AZ368" s="109"/>
      <c r="BA368" s="109"/>
      <c r="BB368" s="109"/>
      <c r="BC368" s="109"/>
      <c r="BD368" s="109"/>
      <c r="BE368" s="109"/>
      <c r="BF368" s="109"/>
      <c r="BG368" s="109"/>
      <c r="BH368" s="109"/>
      <c r="BI368" s="109"/>
      <c r="BJ368" s="109"/>
      <c r="BK368" s="109"/>
      <c r="BL368" s="109"/>
      <c r="BM368" s="109"/>
      <c r="BN368" s="109"/>
    </row>
    <row r="369" spans="1:66" x14ac:dyDescent="0.2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  <c r="AT369" s="109"/>
      <c r="AU369" s="109"/>
      <c r="AV369" s="109"/>
      <c r="AW369" s="109"/>
      <c r="AX369" s="109"/>
      <c r="AY369" s="109"/>
      <c r="AZ369" s="109"/>
      <c r="BA369" s="109"/>
      <c r="BB369" s="109"/>
      <c r="BC369" s="109"/>
      <c r="BD369" s="109"/>
      <c r="BE369" s="109"/>
      <c r="BF369" s="109"/>
      <c r="BG369" s="109"/>
      <c r="BH369" s="109"/>
      <c r="BI369" s="109"/>
      <c r="BJ369" s="109"/>
      <c r="BK369" s="109"/>
      <c r="BL369" s="109"/>
      <c r="BM369" s="109"/>
      <c r="BN369" s="109"/>
    </row>
    <row r="370" spans="1:66" x14ac:dyDescent="0.2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  <c r="AT370" s="109"/>
      <c r="AU370" s="109"/>
      <c r="AV370" s="109"/>
      <c r="AW370" s="109"/>
      <c r="AX370" s="109"/>
      <c r="AY370" s="109"/>
      <c r="AZ370" s="109"/>
      <c r="BA370" s="109"/>
      <c r="BB370" s="109"/>
      <c r="BC370" s="109"/>
      <c r="BD370" s="109"/>
      <c r="BE370" s="109"/>
      <c r="BF370" s="109"/>
      <c r="BG370" s="109"/>
      <c r="BH370" s="109"/>
      <c r="BI370" s="109"/>
      <c r="BJ370" s="109"/>
      <c r="BK370" s="109"/>
      <c r="BL370" s="109"/>
      <c r="BM370" s="109"/>
      <c r="BN370" s="109"/>
    </row>
    <row r="371" spans="1:66" x14ac:dyDescent="0.2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  <c r="AT371" s="109"/>
      <c r="AU371" s="109"/>
      <c r="AV371" s="109"/>
      <c r="AW371" s="109"/>
      <c r="AX371" s="109"/>
      <c r="AY371" s="109"/>
      <c r="AZ371" s="109"/>
      <c r="BA371" s="109"/>
      <c r="BB371" s="109"/>
      <c r="BC371" s="109"/>
      <c r="BD371" s="109"/>
      <c r="BE371" s="109"/>
      <c r="BF371" s="109"/>
      <c r="BG371" s="109"/>
      <c r="BH371" s="109"/>
      <c r="BI371" s="109"/>
      <c r="BJ371" s="109"/>
      <c r="BK371" s="109"/>
      <c r="BL371" s="109"/>
      <c r="BM371" s="109"/>
      <c r="BN371" s="109"/>
    </row>
    <row r="372" spans="1:66" x14ac:dyDescent="0.2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  <c r="AT372" s="109"/>
      <c r="AU372" s="109"/>
      <c r="AV372" s="109"/>
      <c r="AW372" s="109"/>
      <c r="AX372" s="109"/>
      <c r="AY372" s="109"/>
      <c r="AZ372" s="109"/>
      <c r="BA372" s="109"/>
      <c r="BB372" s="109"/>
      <c r="BC372" s="109"/>
      <c r="BD372" s="109"/>
      <c r="BE372" s="109"/>
      <c r="BF372" s="109"/>
      <c r="BG372" s="109"/>
      <c r="BH372" s="109"/>
      <c r="BI372" s="109"/>
      <c r="BJ372" s="109"/>
      <c r="BK372" s="109"/>
      <c r="BL372" s="109"/>
      <c r="BM372" s="109"/>
      <c r="BN372" s="109"/>
    </row>
    <row r="373" spans="1:66" x14ac:dyDescent="0.2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09"/>
      <c r="AT373" s="109"/>
      <c r="AU373" s="109"/>
      <c r="AV373" s="109"/>
      <c r="AW373" s="109"/>
      <c r="AX373" s="109"/>
      <c r="AY373" s="109"/>
      <c r="AZ373" s="109"/>
      <c r="BA373" s="109"/>
      <c r="BB373" s="109"/>
      <c r="BC373" s="109"/>
      <c r="BD373" s="109"/>
      <c r="BE373" s="109"/>
      <c r="BF373" s="109"/>
      <c r="BG373" s="109"/>
      <c r="BH373" s="109"/>
      <c r="BI373" s="109"/>
      <c r="BJ373" s="109"/>
      <c r="BK373" s="109"/>
      <c r="BL373" s="109"/>
      <c r="BM373" s="109"/>
      <c r="BN373" s="109"/>
    </row>
    <row r="374" spans="1:66" x14ac:dyDescent="0.2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09"/>
      <c r="AT374" s="109"/>
      <c r="AU374" s="109"/>
      <c r="AV374" s="109"/>
      <c r="AW374" s="109"/>
      <c r="AX374" s="109"/>
      <c r="AY374" s="109"/>
      <c r="AZ374" s="109"/>
      <c r="BA374" s="109"/>
      <c r="BB374" s="109"/>
      <c r="BC374" s="109"/>
      <c r="BD374" s="109"/>
      <c r="BE374" s="109"/>
      <c r="BF374" s="109"/>
      <c r="BG374" s="109"/>
      <c r="BH374" s="109"/>
      <c r="BI374" s="109"/>
      <c r="BJ374" s="109"/>
      <c r="BK374" s="109"/>
      <c r="BL374" s="109"/>
      <c r="BM374" s="109"/>
      <c r="BN374" s="109"/>
    </row>
    <row r="375" spans="1:66" x14ac:dyDescent="0.2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9"/>
      <c r="AS375" s="109"/>
      <c r="AT375" s="109"/>
      <c r="AU375" s="109"/>
      <c r="AV375" s="109"/>
      <c r="AW375" s="109"/>
      <c r="AX375" s="109"/>
      <c r="AY375" s="109"/>
      <c r="AZ375" s="109"/>
      <c r="BA375" s="109"/>
      <c r="BB375" s="109"/>
      <c r="BC375" s="109"/>
      <c r="BD375" s="109"/>
      <c r="BE375" s="109"/>
      <c r="BF375" s="109"/>
      <c r="BG375" s="109"/>
      <c r="BH375" s="109"/>
      <c r="BI375" s="109"/>
      <c r="BJ375" s="109"/>
      <c r="BK375" s="109"/>
      <c r="BL375" s="109"/>
      <c r="BM375" s="109"/>
      <c r="BN375" s="109"/>
    </row>
    <row r="376" spans="1:66" x14ac:dyDescent="0.2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9"/>
      <c r="AS376" s="109"/>
      <c r="AT376" s="109"/>
      <c r="AU376" s="109"/>
      <c r="AV376" s="109"/>
      <c r="AW376" s="109"/>
      <c r="AX376" s="109"/>
      <c r="AY376" s="109"/>
      <c r="AZ376" s="109"/>
      <c r="BA376" s="109"/>
      <c r="BB376" s="109"/>
      <c r="BC376" s="109"/>
      <c r="BD376" s="109"/>
      <c r="BE376" s="109"/>
      <c r="BF376" s="109"/>
      <c r="BG376" s="109"/>
      <c r="BH376" s="109"/>
      <c r="BI376" s="109"/>
      <c r="BJ376" s="109"/>
      <c r="BK376" s="109"/>
      <c r="BL376" s="109"/>
      <c r="BM376" s="109"/>
      <c r="BN376" s="109"/>
    </row>
    <row r="377" spans="1:66" x14ac:dyDescent="0.2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9"/>
      <c r="AS377" s="109"/>
      <c r="AT377" s="109"/>
      <c r="AU377" s="109"/>
      <c r="AV377" s="109"/>
      <c r="AW377" s="109"/>
      <c r="AX377" s="109"/>
      <c r="AY377" s="109"/>
      <c r="AZ377" s="109"/>
      <c r="BA377" s="109"/>
      <c r="BB377" s="109"/>
      <c r="BC377" s="109"/>
      <c r="BD377" s="109"/>
      <c r="BE377" s="109"/>
      <c r="BF377" s="109"/>
      <c r="BG377" s="109"/>
      <c r="BH377" s="109"/>
      <c r="BI377" s="109"/>
      <c r="BJ377" s="109"/>
      <c r="BK377" s="109"/>
      <c r="BL377" s="109"/>
      <c r="BM377" s="109"/>
      <c r="BN377" s="109"/>
    </row>
    <row r="378" spans="1:66" x14ac:dyDescent="0.2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9"/>
      <c r="AS378" s="109"/>
      <c r="AT378" s="109"/>
      <c r="AU378" s="109"/>
      <c r="AV378" s="109"/>
      <c r="AW378" s="109"/>
      <c r="AX378" s="109"/>
      <c r="AY378" s="109"/>
      <c r="AZ378" s="109"/>
      <c r="BA378" s="109"/>
      <c r="BB378" s="109"/>
      <c r="BC378" s="109"/>
      <c r="BD378" s="109"/>
      <c r="BE378" s="109"/>
      <c r="BF378" s="109"/>
      <c r="BG378" s="109"/>
      <c r="BH378" s="109"/>
      <c r="BI378" s="109"/>
      <c r="BJ378" s="109"/>
      <c r="BK378" s="109"/>
      <c r="BL378" s="109"/>
      <c r="BM378" s="109"/>
      <c r="BN378" s="109"/>
    </row>
    <row r="379" spans="1:66" x14ac:dyDescent="0.2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9"/>
      <c r="AS379" s="109"/>
      <c r="AT379" s="109"/>
      <c r="AU379" s="109"/>
      <c r="AV379" s="109"/>
      <c r="AW379" s="109"/>
      <c r="AX379" s="109"/>
      <c r="AY379" s="109"/>
      <c r="AZ379" s="109"/>
      <c r="BA379" s="109"/>
      <c r="BB379" s="109"/>
      <c r="BC379" s="109"/>
      <c r="BD379" s="109"/>
      <c r="BE379" s="109"/>
      <c r="BF379" s="109"/>
      <c r="BG379" s="109"/>
      <c r="BH379" s="109"/>
      <c r="BI379" s="109"/>
      <c r="BJ379" s="109"/>
      <c r="BK379" s="109"/>
      <c r="BL379" s="109"/>
      <c r="BM379" s="109"/>
      <c r="BN379" s="109"/>
    </row>
    <row r="380" spans="1:66" x14ac:dyDescent="0.2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  <c r="AL380" s="109"/>
      <c r="AM380" s="109"/>
      <c r="AN380" s="109"/>
      <c r="AO380" s="109"/>
      <c r="AP380" s="109"/>
      <c r="AQ380" s="109"/>
      <c r="AR380" s="109"/>
      <c r="AS380" s="109"/>
      <c r="AT380" s="109"/>
      <c r="AU380" s="109"/>
      <c r="AV380" s="109"/>
      <c r="AW380" s="109"/>
      <c r="AX380" s="109"/>
      <c r="AY380" s="109"/>
      <c r="AZ380" s="109"/>
      <c r="BA380" s="109"/>
      <c r="BB380" s="109"/>
      <c r="BC380" s="109"/>
      <c r="BD380" s="109"/>
      <c r="BE380" s="109"/>
      <c r="BF380" s="109"/>
      <c r="BG380" s="109"/>
      <c r="BH380" s="109"/>
      <c r="BI380" s="109"/>
      <c r="BJ380" s="109"/>
      <c r="BK380" s="109"/>
      <c r="BL380" s="109"/>
      <c r="BM380" s="109"/>
      <c r="BN380" s="109"/>
    </row>
    <row r="381" spans="1:66" x14ac:dyDescent="0.2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9"/>
      <c r="AS381" s="109"/>
      <c r="AT381" s="109"/>
      <c r="AU381" s="109"/>
      <c r="AV381" s="109"/>
      <c r="AW381" s="109"/>
      <c r="AX381" s="109"/>
      <c r="AY381" s="109"/>
      <c r="AZ381" s="109"/>
      <c r="BA381" s="109"/>
      <c r="BB381" s="109"/>
      <c r="BC381" s="109"/>
      <c r="BD381" s="109"/>
      <c r="BE381" s="109"/>
      <c r="BF381" s="109"/>
      <c r="BG381" s="109"/>
      <c r="BH381" s="109"/>
      <c r="BI381" s="109"/>
      <c r="BJ381" s="109"/>
      <c r="BK381" s="109"/>
      <c r="BL381" s="109"/>
      <c r="BM381" s="109"/>
      <c r="BN381" s="109"/>
    </row>
    <row r="382" spans="1:66" x14ac:dyDescent="0.2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9"/>
      <c r="AS382" s="109"/>
      <c r="AT382" s="109"/>
      <c r="AU382" s="109"/>
      <c r="AV382" s="109"/>
      <c r="AW382" s="109"/>
      <c r="AX382" s="109"/>
      <c r="AY382" s="109"/>
      <c r="AZ382" s="109"/>
      <c r="BA382" s="109"/>
      <c r="BB382" s="109"/>
      <c r="BC382" s="109"/>
      <c r="BD382" s="109"/>
      <c r="BE382" s="109"/>
      <c r="BF382" s="109"/>
      <c r="BG382" s="109"/>
      <c r="BH382" s="109"/>
      <c r="BI382" s="109"/>
      <c r="BJ382" s="109"/>
      <c r="BK382" s="109"/>
      <c r="BL382" s="109"/>
      <c r="BM382" s="109"/>
      <c r="BN382" s="109"/>
    </row>
    <row r="383" spans="1:66" x14ac:dyDescent="0.2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9"/>
      <c r="AS383" s="109"/>
      <c r="AT383" s="109"/>
      <c r="AU383" s="109"/>
      <c r="AV383" s="109"/>
      <c r="AW383" s="109"/>
      <c r="AX383" s="109"/>
      <c r="AY383" s="109"/>
      <c r="AZ383" s="109"/>
      <c r="BA383" s="109"/>
      <c r="BB383" s="109"/>
      <c r="BC383" s="109"/>
      <c r="BD383" s="109"/>
      <c r="BE383" s="109"/>
      <c r="BF383" s="109"/>
      <c r="BG383" s="109"/>
      <c r="BH383" s="109"/>
      <c r="BI383" s="109"/>
      <c r="BJ383" s="109"/>
      <c r="BK383" s="109"/>
      <c r="BL383" s="109"/>
      <c r="BM383" s="109"/>
      <c r="BN383" s="109"/>
    </row>
    <row r="384" spans="1:66" x14ac:dyDescent="0.2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9"/>
      <c r="AS384" s="109"/>
      <c r="AT384" s="109"/>
      <c r="AU384" s="109"/>
      <c r="AV384" s="109"/>
      <c r="AW384" s="109"/>
      <c r="AX384" s="109"/>
      <c r="AY384" s="109"/>
      <c r="AZ384" s="109"/>
      <c r="BA384" s="109"/>
      <c r="BB384" s="109"/>
      <c r="BC384" s="109"/>
      <c r="BD384" s="109"/>
      <c r="BE384" s="109"/>
      <c r="BF384" s="109"/>
      <c r="BG384" s="109"/>
      <c r="BH384" s="109"/>
      <c r="BI384" s="109"/>
      <c r="BJ384" s="109"/>
      <c r="BK384" s="109"/>
      <c r="BL384" s="109"/>
      <c r="BM384" s="109"/>
      <c r="BN384" s="109"/>
    </row>
    <row r="385" spans="1:66" x14ac:dyDescent="0.2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  <c r="AT385" s="109"/>
      <c r="AU385" s="109"/>
      <c r="AV385" s="109"/>
      <c r="AW385" s="109"/>
      <c r="AX385" s="109"/>
      <c r="AY385" s="109"/>
      <c r="AZ385" s="109"/>
      <c r="BA385" s="109"/>
      <c r="BB385" s="109"/>
      <c r="BC385" s="109"/>
      <c r="BD385" s="109"/>
      <c r="BE385" s="109"/>
      <c r="BF385" s="109"/>
      <c r="BG385" s="109"/>
      <c r="BH385" s="109"/>
      <c r="BI385" s="109"/>
      <c r="BJ385" s="109"/>
      <c r="BK385" s="109"/>
      <c r="BL385" s="109"/>
      <c r="BM385" s="109"/>
      <c r="BN385" s="109"/>
    </row>
    <row r="386" spans="1:66" x14ac:dyDescent="0.2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  <c r="AT386" s="109"/>
      <c r="AU386" s="109"/>
      <c r="AV386" s="109"/>
      <c r="AW386" s="109"/>
      <c r="AX386" s="109"/>
      <c r="AY386" s="109"/>
      <c r="AZ386" s="109"/>
      <c r="BA386" s="109"/>
      <c r="BB386" s="109"/>
      <c r="BC386" s="109"/>
      <c r="BD386" s="109"/>
      <c r="BE386" s="109"/>
      <c r="BF386" s="109"/>
      <c r="BG386" s="109"/>
      <c r="BH386" s="109"/>
      <c r="BI386" s="109"/>
      <c r="BJ386" s="109"/>
      <c r="BK386" s="109"/>
      <c r="BL386" s="109"/>
      <c r="BM386" s="109"/>
      <c r="BN386" s="109"/>
    </row>
    <row r="387" spans="1:66" x14ac:dyDescent="0.2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  <c r="AT387" s="109"/>
      <c r="AU387" s="109"/>
      <c r="AV387" s="109"/>
      <c r="AW387" s="109"/>
      <c r="AX387" s="109"/>
      <c r="AY387" s="109"/>
      <c r="AZ387" s="109"/>
      <c r="BA387" s="109"/>
      <c r="BB387" s="109"/>
      <c r="BC387" s="109"/>
      <c r="BD387" s="109"/>
      <c r="BE387" s="109"/>
      <c r="BF387" s="109"/>
      <c r="BG387" s="109"/>
      <c r="BH387" s="109"/>
      <c r="BI387" s="109"/>
      <c r="BJ387" s="109"/>
      <c r="BK387" s="109"/>
      <c r="BL387" s="109"/>
      <c r="BM387" s="109"/>
      <c r="BN387" s="109"/>
    </row>
    <row r="388" spans="1:66" x14ac:dyDescent="0.2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  <c r="AT388" s="109"/>
      <c r="AU388" s="109"/>
      <c r="AV388" s="109"/>
      <c r="AW388" s="109"/>
      <c r="AX388" s="109"/>
      <c r="AY388" s="109"/>
      <c r="AZ388" s="109"/>
      <c r="BA388" s="109"/>
      <c r="BB388" s="109"/>
      <c r="BC388" s="109"/>
      <c r="BD388" s="109"/>
      <c r="BE388" s="109"/>
      <c r="BF388" s="109"/>
      <c r="BG388" s="109"/>
      <c r="BH388" s="109"/>
      <c r="BI388" s="109"/>
      <c r="BJ388" s="109"/>
      <c r="BK388" s="109"/>
      <c r="BL388" s="109"/>
      <c r="BM388" s="109"/>
      <c r="BN388" s="109"/>
    </row>
    <row r="389" spans="1:66" x14ac:dyDescent="0.2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  <c r="AT389" s="109"/>
      <c r="AU389" s="109"/>
      <c r="AV389" s="109"/>
      <c r="AW389" s="109"/>
      <c r="AX389" s="109"/>
      <c r="AY389" s="109"/>
      <c r="AZ389" s="109"/>
      <c r="BA389" s="109"/>
      <c r="BB389" s="109"/>
      <c r="BC389" s="109"/>
      <c r="BD389" s="109"/>
      <c r="BE389" s="109"/>
      <c r="BF389" s="109"/>
      <c r="BG389" s="109"/>
      <c r="BH389" s="109"/>
      <c r="BI389" s="109"/>
      <c r="BJ389" s="109"/>
      <c r="BK389" s="109"/>
      <c r="BL389" s="109"/>
      <c r="BM389" s="109"/>
      <c r="BN389" s="109"/>
    </row>
    <row r="390" spans="1:66" x14ac:dyDescent="0.2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  <c r="AT390" s="109"/>
      <c r="AU390" s="109"/>
      <c r="AV390" s="109"/>
      <c r="AW390" s="109"/>
      <c r="AX390" s="109"/>
      <c r="AY390" s="109"/>
      <c r="AZ390" s="109"/>
      <c r="BA390" s="109"/>
      <c r="BB390" s="109"/>
      <c r="BC390" s="109"/>
      <c r="BD390" s="109"/>
      <c r="BE390" s="109"/>
      <c r="BF390" s="109"/>
      <c r="BG390" s="109"/>
      <c r="BH390" s="109"/>
      <c r="BI390" s="109"/>
      <c r="BJ390" s="109"/>
      <c r="BK390" s="109"/>
      <c r="BL390" s="109"/>
      <c r="BM390" s="109"/>
      <c r="BN390" s="109"/>
    </row>
    <row r="391" spans="1:66" x14ac:dyDescent="0.2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  <c r="BA391" s="109"/>
      <c r="BB391" s="109"/>
      <c r="BC391" s="109"/>
      <c r="BD391" s="109"/>
      <c r="BE391" s="109"/>
      <c r="BF391" s="109"/>
      <c r="BG391" s="109"/>
      <c r="BH391" s="109"/>
      <c r="BI391" s="109"/>
      <c r="BJ391" s="109"/>
      <c r="BK391" s="109"/>
      <c r="BL391" s="109"/>
      <c r="BM391" s="109"/>
      <c r="BN391" s="109"/>
    </row>
    <row r="392" spans="1:66" x14ac:dyDescent="0.2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  <c r="AT392" s="109"/>
      <c r="AU392" s="109"/>
      <c r="AV392" s="109"/>
      <c r="AW392" s="109"/>
      <c r="AX392" s="109"/>
      <c r="AY392" s="109"/>
      <c r="AZ392" s="109"/>
      <c r="BA392" s="109"/>
      <c r="BB392" s="109"/>
      <c r="BC392" s="109"/>
      <c r="BD392" s="109"/>
      <c r="BE392" s="109"/>
      <c r="BF392" s="109"/>
      <c r="BG392" s="109"/>
      <c r="BH392" s="109"/>
      <c r="BI392" s="109"/>
      <c r="BJ392" s="109"/>
      <c r="BK392" s="109"/>
      <c r="BL392" s="109"/>
      <c r="BM392" s="109"/>
      <c r="BN392" s="109"/>
    </row>
    <row r="393" spans="1:66" x14ac:dyDescent="0.2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  <c r="AT393" s="109"/>
      <c r="AU393" s="109"/>
      <c r="AV393" s="109"/>
      <c r="AW393" s="109"/>
      <c r="AX393" s="109"/>
      <c r="AY393" s="109"/>
      <c r="AZ393" s="109"/>
      <c r="BA393" s="109"/>
      <c r="BB393" s="109"/>
      <c r="BC393" s="109"/>
      <c r="BD393" s="109"/>
      <c r="BE393" s="109"/>
      <c r="BF393" s="109"/>
      <c r="BG393" s="109"/>
      <c r="BH393" s="109"/>
      <c r="BI393" s="109"/>
      <c r="BJ393" s="109"/>
      <c r="BK393" s="109"/>
      <c r="BL393" s="109"/>
      <c r="BM393" s="109"/>
      <c r="BN393" s="109"/>
    </row>
    <row r="394" spans="1:66" x14ac:dyDescent="0.2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  <c r="AT394" s="109"/>
      <c r="AU394" s="109"/>
      <c r="AV394" s="109"/>
      <c r="AW394" s="109"/>
      <c r="AX394" s="109"/>
      <c r="AY394" s="109"/>
      <c r="AZ394" s="109"/>
      <c r="BA394" s="109"/>
      <c r="BB394" s="109"/>
      <c r="BC394" s="109"/>
      <c r="BD394" s="109"/>
      <c r="BE394" s="109"/>
      <c r="BF394" s="109"/>
      <c r="BG394" s="109"/>
      <c r="BH394" s="109"/>
      <c r="BI394" s="109"/>
      <c r="BJ394" s="109"/>
      <c r="BK394" s="109"/>
      <c r="BL394" s="109"/>
      <c r="BM394" s="109"/>
      <c r="BN394" s="109"/>
    </row>
    <row r="395" spans="1:66" x14ac:dyDescent="0.2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  <c r="AT395" s="109"/>
      <c r="AU395" s="109"/>
      <c r="AV395" s="109"/>
      <c r="AW395" s="109"/>
      <c r="AX395" s="109"/>
      <c r="AY395" s="109"/>
      <c r="AZ395" s="109"/>
      <c r="BA395" s="109"/>
      <c r="BB395" s="109"/>
      <c r="BC395" s="109"/>
      <c r="BD395" s="109"/>
      <c r="BE395" s="109"/>
      <c r="BF395" s="109"/>
      <c r="BG395" s="109"/>
      <c r="BH395" s="109"/>
      <c r="BI395" s="109"/>
      <c r="BJ395" s="109"/>
      <c r="BK395" s="109"/>
      <c r="BL395" s="109"/>
      <c r="BM395" s="109"/>
      <c r="BN395" s="109"/>
    </row>
    <row r="396" spans="1:66" x14ac:dyDescent="0.2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  <c r="AT396" s="109"/>
      <c r="AU396" s="109"/>
      <c r="AV396" s="109"/>
      <c r="AW396" s="109"/>
      <c r="AX396" s="109"/>
      <c r="AY396" s="109"/>
      <c r="AZ396" s="109"/>
      <c r="BA396" s="109"/>
      <c r="BB396" s="109"/>
      <c r="BC396" s="109"/>
      <c r="BD396" s="109"/>
      <c r="BE396" s="109"/>
      <c r="BF396" s="109"/>
      <c r="BG396" s="109"/>
      <c r="BH396" s="109"/>
      <c r="BI396" s="109"/>
      <c r="BJ396" s="109"/>
      <c r="BK396" s="109"/>
      <c r="BL396" s="109"/>
      <c r="BM396" s="109"/>
      <c r="BN396" s="109"/>
    </row>
    <row r="397" spans="1:66" x14ac:dyDescent="0.2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9"/>
      <c r="AS397" s="109"/>
      <c r="AT397" s="109"/>
      <c r="AU397" s="109"/>
      <c r="AV397" s="109"/>
      <c r="AW397" s="109"/>
      <c r="AX397" s="109"/>
      <c r="AY397" s="109"/>
      <c r="AZ397" s="109"/>
      <c r="BA397" s="109"/>
      <c r="BB397" s="109"/>
      <c r="BC397" s="109"/>
      <c r="BD397" s="109"/>
      <c r="BE397" s="109"/>
      <c r="BF397" s="109"/>
      <c r="BG397" s="109"/>
      <c r="BH397" s="109"/>
      <c r="BI397" s="109"/>
      <c r="BJ397" s="109"/>
      <c r="BK397" s="109"/>
      <c r="BL397" s="109"/>
      <c r="BM397" s="109"/>
      <c r="BN397" s="109"/>
    </row>
    <row r="398" spans="1:66" x14ac:dyDescent="0.2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09"/>
      <c r="AT398" s="109"/>
      <c r="AU398" s="109"/>
      <c r="AV398" s="109"/>
      <c r="AW398" s="109"/>
      <c r="AX398" s="109"/>
      <c r="AY398" s="109"/>
      <c r="AZ398" s="109"/>
      <c r="BA398" s="109"/>
      <c r="BB398" s="109"/>
      <c r="BC398" s="109"/>
      <c r="BD398" s="109"/>
      <c r="BE398" s="109"/>
      <c r="BF398" s="109"/>
      <c r="BG398" s="109"/>
      <c r="BH398" s="109"/>
      <c r="BI398" s="109"/>
      <c r="BJ398" s="109"/>
      <c r="BK398" s="109"/>
      <c r="BL398" s="109"/>
      <c r="BM398" s="109"/>
      <c r="BN398" s="109"/>
    </row>
    <row r="399" spans="1:66" x14ac:dyDescent="0.2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09"/>
      <c r="AT399" s="109"/>
      <c r="AU399" s="109"/>
      <c r="AV399" s="109"/>
      <c r="AW399" s="109"/>
      <c r="AX399" s="109"/>
      <c r="AY399" s="109"/>
      <c r="AZ399" s="109"/>
      <c r="BA399" s="109"/>
      <c r="BB399" s="109"/>
      <c r="BC399" s="109"/>
      <c r="BD399" s="109"/>
      <c r="BE399" s="109"/>
      <c r="BF399" s="109"/>
      <c r="BG399" s="109"/>
      <c r="BH399" s="109"/>
      <c r="BI399" s="109"/>
      <c r="BJ399" s="109"/>
      <c r="BK399" s="109"/>
      <c r="BL399" s="109"/>
      <c r="BM399" s="109"/>
      <c r="BN399" s="109"/>
    </row>
    <row r="400" spans="1:66" x14ac:dyDescent="0.2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09"/>
      <c r="AT400" s="109"/>
      <c r="AU400" s="109"/>
      <c r="AV400" s="109"/>
      <c r="AW400" s="109"/>
      <c r="AX400" s="109"/>
      <c r="AY400" s="109"/>
      <c r="AZ400" s="109"/>
      <c r="BA400" s="109"/>
      <c r="BB400" s="109"/>
      <c r="BC400" s="109"/>
      <c r="BD400" s="109"/>
      <c r="BE400" s="109"/>
      <c r="BF400" s="109"/>
      <c r="BG400" s="109"/>
      <c r="BH400" s="109"/>
      <c r="BI400" s="109"/>
      <c r="BJ400" s="109"/>
      <c r="BK400" s="109"/>
      <c r="BL400" s="109"/>
      <c r="BM400" s="109"/>
      <c r="BN400" s="109"/>
    </row>
    <row r="401" spans="1:66" x14ac:dyDescent="0.2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09"/>
      <c r="AT401" s="109"/>
      <c r="AU401" s="109"/>
      <c r="AV401" s="109"/>
      <c r="AW401" s="109"/>
      <c r="AX401" s="109"/>
      <c r="AY401" s="109"/>
      <c r="AZ401" s="109"/>
      <c r="BA401" s="109"/>
      <c r="BB401" s="109"/>
      <c r="BC401" s="109"/>
      <c r="BD401" s="109"/>
      <c r="BE401" s="109"/>
      <c r="BF401" s="109"/>
      <c r="BG401" s="109"/>
      <c r="BH401" s="109"/>
      <c r="BI401" s="109"/>
      <c r="BJ401" s="109"/>
      <c r="BK401" s="109"/>
      <c r="BL401" s="109"/>
      <c r="BM401" s="109"/>
      <c r="BN401" s="109"/>
    </row>
    <row r="402" spans="1:66" x14ac:dyDescent="0.2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09"/>
      <c r="AT402" s="109"/>
      <c r="AU402" s="109"/>
      <c r="AV402" s="109"/>
      <c r="AW402" s="109"/>
      <c r="AX402" s="109"/>
      <c r="AY402" s="109"/>
      <c r="AZ402" s="109"/>
      <c r="BA402" s="109"/>
      <c r="BB402" s="109"/>
      <c r="BC402" s="109"/>
      <c r="BD402" s="109"/>
      <c r="BE402" s="109"/>
      <c r="BF402" s="109"/>
      <c r="BG402" s="109"/>
      <c r="BH402" s="109"/>
      <c r="BI402" s="109"/>
      <c r="BJ402" s="109"/>
      <c r="BK402" s="109"/>
      <c r="BL402" s="109"/>
      <c r="BM402" s="109"/>
      <c r="BN402" s="109"/>
    </row>
    <row r="403" spans="1:66" x14ac:dyDescent="0.2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9"/>
      <c r="AS403" s="109"/>
      <c r="AT403" s="109"/>
      <c r="AU403" s="109"/>
      <c r="AV403" s="109"/>
      <c r="AW403" s="109"/>
      <c r="AX403" s="109"/>
      <c r="AY403" s="109"/>
      <c r="AZ403" s="109"/>
      <c r="BA403" s="109"/>
      <c r="BB403" s="109"/>
      <c r="BC403" s="109"/>
      <c r="BD403" s="109"/>
      <c r="BE403" s="109"/>
      <c r="BF403" s="109"/>
      <c r="BG403" s="109"/>
      <c r="BH403" s="109"/>
      <c r="BI403" s="109"/>
      <c r="BJ403" s="109"/>
      <c r="BK403" s="109"/>
      <c r="BL403" s="109"/>
      <c r="BM403" s="109"/>
      <c r="BN403" s="109"/>
    </row>
    <row r="404" spans="1:66" x14ac:dyDescent="0.2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9"/>
      <c r="AS404" s="109"/>
      <c r="AT404" s="109"/>
      <c r="AU404" s="109"/>
      <c r="AV404" s="109"/>
      <c r="AW404" s="109"/>
      <c r="AX404" s="109"/>
      <c r="AY404" s="109"/>
      <c r="AZ404" s="109"/>
      <c r="BA404" s="109"/>
      <c r="BB404" s="109"/>
      <c r="BC404" s="109"/>
      <c r="BD404" s="109"/>
      <c r="BE404" s="109"/>
      <c r="BF404" s="109"/>
      <c r="BG404" s="109"/>
      <c r="BH404" s="109"/>
      <c r="BI404" s="109"/>
      <c r="BJ404" s="109"/>
      <c r="BK404" s="109"/>
      <c r="BL404" s="109"/>
      <c r="BM404" s="109"/>
      <c r="BN404" s="109"/>
    </row>
    <row r="405" spans="1:66" x14ac:dyDescent="0.2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9"/>
      <c r="AS405" s="109"/>
      <c r="AT405" s="109"/>
      <c r="AU405" s="109"/>
      <c r="AV405" s="109"/>
      <c r="AW405" s="109"/>
      <c r="AX405" s="109"/>
      <c r="AY405" s="109"/>
      <c r="AZ405" s="109"/>
      <c r="BA405" s="109"/>
      <c r="BB405" s="109"/>
      <c r="BC405" s="109"/>
      <c r="BD405" s="109"/>
      <c r="BE405" s="109"/>
      <c r="BF405" s="109"/>
      <c r="BG405" s="109"/>
      <c r="BH405" s="109"/>
      <c r="BI405" s="109"/>
      <c r="BJ405" s="109"/>
      <c r="BK405" s="109"/>
      <c r="BL405" s="109"/>
      <c r="BM405" s="109"/>
      <c r="BN405" s="109"/>
    </row>
    <row r="406" spans="1:66" x14ac:dyDescent="0.2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  <c r="AT406" s="109"/>
      <c r="AU406" s="109"/>
      <c r="AV406" s="109"/>
      <c r="AW406" s="109"/>
      <c r="AX406" s="109"/>
      <c r="AY406" s="109"/>
      <c r="AZ406" s="109"/>
      <c r="BA406" s="109"/>
      <c r="BB406" s="109"/>
      <c r="BC406" s="109"/>
      <c r="BD406" s="109"/>
      <c r="BE406" s="109"/>
      <c r="BF406" s="109"/>
      <c r="BG406" s="109"/>
      <c r="BH406" s="109"/>
      <c r="BI406" s="109"/>
      <c r="BJ406" s="109"/>
      <c r="BK406" s="109"/>
      <c r="BL406" s="109"/>
      <c r="BM406" s="109"/>
      <c r="BN406" s="109"/>
    </row>
    <row r="407" spans="1:66" x14ac:dyDescent="0.2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9"/>
      <c r="AS407" s="109"/>
      <c r="AT407" s="109"/>
      <c r="AU407" s="109"/>
      <c r="AV407" s="109"/>
      <c r="AW407" s="109"/>
      <c r="AX407" s="109"/>
      <c r="AY407" s="109"/>
      <c r="AZ407" s="109"/>
      <c r="BA407" s="109"/>
      <c r="BB407" s="109"/>
      <c r="BC407" s="109"/>
      <c r="BD407" s="109"/>
      <c r="BE407" s="109"/>
      <c r="BF407" s="109"/>
      <c r="BG407" s="109"/>
      <c r="BH407" s="109"/>
      <c r="BI407" s="109"/>
      <c r="BJ407" s="109"/>
      <c r="BK407" s="109"/>
      <c r="BL407" s="109"/>
      <c r="BM407" s="109"/>
      <c r="BN407" s="109"/>
    </row>
    <row r="408" spans="1:66" x14ac:dyDescent="0.2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9"/>
      <c r="AS408" s="109"/>
      <c r="AT408" s="109"/>
      <c r="AU408" s="109"/>
      <c r="AV408" s="109"/>
      <c r="AW408" s="109"/>
      <c r="AX408" s="109"/>
      <c r="AY408" s="109"/>
      <c r="AZ408" s="109"/>
      <c r="BA408" s="109"/>
      <c r="BB408" s="109"/>
      <c r="BC408" s="109"/>
      <c r="BD408" s="109"/>
      <c r="BE408" s="109"/>
      <c r="BF408" s="109"/>
      <c r="BG408" s="109"/>
      <c r="BH408" s="109"/>
      <c r="BI408" s="109"/>
      <c r="BJ408" s="109"/>
      <c r="BK408" s="109"/>
      <c r="BL408" s="109"/>
      <c r="BM408" s="109"/>
      <c r="BN408" s="109"/>
    </row>
    <row r="409" spans="1:66" x14ac:dyDescent="0.2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  <c r="AT409" s="109"/>
      <c r="AU409" s="109"/>
      <c r="AV409" s="109"/>
      <c r="AW409" s="109"/>
      <c r="AX409" s="109"/>
      <c r="AY409" s="109"/>
      <c r="AZ409" s="109"/>
      <c r="BA409" s="109"/>
      <c r="BB409" s="109"/>
      <c r="BC409" s="109"/>
      <c r="BD409" s="109"/>
      <c r="BE409" s="109"/>
      <c r="BF409" s="109"/>
      <c r="BG409" s="109"/>
      <c r="BH409" s="109"/>
      <c r="BI409" s="109"/>
      <c r="BJ409" s="109"/>
      <c r="BK409" s="109"/>
      <c r="BL409" s="109"/>
      <c r="BM409" s="109"/>
      <c r="BN409" s="109"/>
    </row>
    <row r="410" spans="1:66" x14ac:dyDescent="0.2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  <c r="AT410" s="109"/>
      <c r="AU410" s="109"/>
      <c r="AV410" s="109"/>
      <c r="AW410" s="109"/>
      <c r="AX410" s="109"/>
      <c r="AY410" s="109"/>
      <c r="AZ410" s="109"/>
      <c r="BA410" s="109"/>
      <c r="BB410" s="109"/>
      <c r="BC410" s="109"/>
      <c r="BD410" s="109"/>
      <c r="BE410" s="109"/>
      <c r="BF410" s="109"/>
      <c r="BG410" s="109"/>
      <c r="BH410" s="109"/>
      <c r="BI410" s="109"/>
      <c r="BJ410" s="109"/>
      <c r="BK410" s="109"/>
      <c r="BL410" s="109"/>
      <c r="BM410" s="109"/>
      <c r="BN410" s="109"/>
    </row>
    <row r="411" spans="1:66" x14ac:dyDescent="0.2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  <c r="AT411" s="109"/>
      <c r="AU411" s="109"/>
      <c r="AV411" s="109"/>
      <c r="AW411" s="109"/>
      <c r="AX411" s="109"/>
      <c r="AY411" s="109"/>
      <c r="AZ411" s="109"/>
      <c r="BA411" s="109"/>
      <c r="BB411" s="109"/>
      <c r="BC411" s="109"/>
      <c r="BD411" s="109"/>
      <c r="BE411" s="109"/>
      <c r="BF411" s="109"/>
      <c r="BG411" s="109"/>
      <c r="BH411" s="109"/>
      <c r="BI411" s="109"/>
      <c r="BJ411" s="109"/>
      <c r="BK411" s="109"/>
      <c r="BL411" s="109"/>
      <c r="BM411" s="109"/>
      <c r="BN411" s="109"/>
    </row>
    <row r="412" spans="1:66" x14ac:dyDescent="0.2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  <c r="AV412" s="109"/>
      <c r="AW412" s="109"/>
      <c r="AX412" s="109"/>
      <c r="AY412" s="109"/>
      <c r="AZ412" s="109"/>
      <c r="BA412" s="109"/>
      <c r="BB412" s="109"/>
      <c r="BC412" s="109"/>
      <c r="BD412" s="109"/>
      <c r="BE412" s="109"/>
      <c r="BF412" s="109"/>
      <c r="BG412" s="109"/>
      <c r="BH412" s="109"/>
      <c r="BI412" s="109"/>
      <c r="BJ412" s="109"/>
      <c r="BK412" s="109"/>
      <c r="BL412" s="109"/>
      <c r="BM412" s="109"/>
      <c r="BN412" s="109"/>
    </row>
    <row r="413" spans="1:66" x14ac:dyDescent="0.2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  <c r="AT413" s="109"/>
      <c r="AU413" s="109"/>
      <c r="AV413" s="109"/>
      <c r="AW413" s="109"/>
      <c r="AX413" s="109"/>
      <c r="AY413" s="109"/>
      <c r="AZ413" s="109"/>
      <c r="BA413" s="109"/>
      <c r="BB413" s="109"/>
      <c r="BC413" s="109"/>
      <c r="BD413" s="109"/>
      <c r="BE413" s="109"/>
      <c r="BF413" s="109"/>
      <c r="BG413" s="109"/>
      <c r="BH413" s="109"/>
      <c r="BI413" s="109"/>
      <c r="BJ413" s="109"/>
      <c r="BK413" s="109"/>
      <c r="BL413" s="109"/>
      <c r="BM413" s="109"/>
      <c r="BN413" s="109"/>
    </row>
    <row r="414" spans="1:66" x14ac:dyDescent="0.2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  <c r="AT414" s="109"/>
      <c r="AU414" s="109"/>
      <c r="AV414" s="109"/>
      <c r="AW414" s="109"/>
      <c r="AX414" s="109"/>
      <c r="AY414" s="109"/>
      <c r="AZ414" s="109"/>
      <c r="BA414" s="109"/>
      <c r="BB414" s="109"/>
      <c r="BC414" s="109"/>
      <c r="BD414" s="109"/>
      <c r="BE414" s="109"/>
      <c r="BF414" s="109"/>
      <c r="BG414" s="109"/>
      <c r="BH414" s="109"/>
      <c r="BI414" s="109"/>
      <c r="BJ414" s="109"/>
      <c r="BK414" s="109"/>
      <c r="BL414" s="109"/>
      <c r="BM414" s="109"/>
      <c r="BN414" s="109"/>
    </row>
    <row r="415" spans="1:66" x14ac:dyDescent="0.2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  <c r="AT415" s="109"/>
      <c r="AU415" s="109"/>
      <c r="AV415" s="109"/>
      <c r="AW415" s="109"/>
      <c r="AX415" s="109"/>
      <c r="AY415" s="109"/>
      <c r="AZ415" s="109"/>
      <c r="BA415" s="109"/>
      <c r="BB415" s="109"/>
      <c r="BC415" s="109"/>
      <c r="BD415" s="109"/>
      <c r="BE415" s="109"/>
      <c r="BF415" s="109"/>
      <c r="BG415" s="109"/>
      <c r="BH415" s="109"/>
      <c r="BI415" s="109"/>
      <c r="BJ415" s="109"/>
      <c r="BK415" s="109"/>
      <c r="BL415" s="109"/>
      <c r="BM415" s="109"/>
      <c r="BN415" s="109"/>
    </row>
    <row r="416" spans="1:66" x14ac:dyDescent="0.2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  <c r="AT416" s="109"/>
      <c r="AU416" s="109"/>
      <c r="AV416" s="109"/>
      <c r="AW416" s="109"/>
      <c r="AX416" s="109"/>
      <c r="AY416" s="109"/>
      <c r="AZ416" s="109"/>
      <c r="BA416" s="109"/>
      <c r="BB416" s="109"/>
      <c r="BC416" s="109"/>
      <c r="BD416" s="109"/>
      <c r="BE416" s="109"/>
      <c r="BF416" s="109"/>
      <c r="BG416" s="109"/>
      <c r="BH416" s="109"/>
      <c r="BI416" s="109"/>
      <c r="BJ416" s="109"/>
      <c r="BK416" s="109"/>
      <c r="BL416" s="109"/>
      <c r="BM416" s="109"/>
      <c r="BN416" s="109"/>
    </row>
    <row r="417" spans="1:66" x14ac:dyDescent="0.2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  <c r="AT417" s="109"/>
      <c r="AU417" s="109"/>
      <c r="AV417" s="109"/>
      <c r="AW417" s="109"/>
      <c r="AX417" s="109"/>
      <c r="AY417" s="109"/>
      <c r="AZ417" s="109"/>
      <c r="BA417" s="109"/>
      <c r="BB417" s="109"/>
      <c r="BC417" s="109"/>
      <c r="BD417" s="109"/>
      <c r="BE417" s="109"/>
      <c r="BF417" s="109"/>
      <c r="BG417" s="109"/>
      <c r="BH417" s="109"/>
      <c r="BI417" s="109"/>
      <c r="BJ417" s="109"/>
      <c r="BK417" s="109"/>
      <c r="BL417" s="109"/>
      <c r="BM417" s="109"/>
      <c r="BN417" s="109"/>
    </row>
    <row r="418" spans="1:66" x14ac:dyDescent="0.2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  <c r="AT418" s="109"/>
      <c r="AU418" s="109"/>
      <c r="AV418" s="109"/>
      <c r="AW418" s="109"/>
      <c r="AX418" s="109"/>
      <c r="AY418" s="109"/>
      <c r="AZ418" s="109"/>
      <c r="BA418" s="109"/>
      <c r="BB418" s="109"/>
      <c r="BC418" s="109"/>
      <c r="BD418" s="109"/>
      <c r="BE418" s="109"/>
      <c r="BF418" s="109"/>
      <c r="BG418" s="109"/>
      <c r="BH418" s="109"/>
      <c r="BI418" s="109"/>
      <c r="BJ418" s="109"/>
      <c r="BK418" s="109"/>
      <c r="BL418" s="109"/>
      <c r="BM418" s="109"/>
      <c r="BN418" s="109"/>
    </row>
    <row r="419" spans="1:66" x14ac:dyDescent="0.2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  <c r="AT419" s="109"/>
      <c r="AU419" s="109"/>
      <c r="AV419" s="109"/>
      <c r="AW419" s="109"/>
      <c r="AX419" s="109"/>
      <c r="AY419" s="109"/>
      <c r="AZ419" s="109"/>
      <c r="BA419" s="109"/>
      <c r="BB419" s="109"/>
      <c r="BC419" s="109"/>
      <c r="BD419" s="109"/>
      <c r="BE419" s="109"/>
      <c r="BF419" s="109"/>
      <c r="BG419" s="109"/>
      <c r="BH419" s="109"/>
      <c r="BI419" s="109"/>
      <c r="BJ419" s="109"/>
      <c r="BK419" s="109"/>
      <c r="BL419" s="109"/>
      <c r="BM419" s="109"/>
      <c r="BN419" s="109"/>
    </row>
    <row r="420" spans="1:66" x14ac:dyDescent="0.2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  <c r="AT420" s="109"/>
      <c r="AU420" s="109"/>
      <c r="AV420" s="109"/>
      <c r="AW420" s="109"/>
      <c r="AX420" s="109"/>
      <c r="AY420" s="109"/>
      <c r="AZ420" s="109"/>
      <c r="BA420" s="109"/>
      <c r="BB420" s="109"/>
      <c r="BC420" s="109"/>
      <c r="BD420" s="109"/>
      <c r="BE420" s="109"/>
      <c r="BF420" s="109"/>
      <c r="BG420" s="109"/>
      <c r="BH420" s="109"/>
      <c r="BI420" s="109"/>
      <c r="BJ420" s="109"/>
      <c r="BK420" s="109"/>
      <c r="BL420" s="109"/>
      <c r="BM420" s="109"/>
      <c r="BN420" s="109"/>
    </row>
    <row r="421" spans="1:66" x14ac:dyDescent="0.2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9"/>
      <c r="AS421" s="109"/>
      <c r="AT421" s="109"/>
      <c r="AU421" s="109"/>
      <c r="AV421" s="109"/>
      <c r="AW421" s="109"/>
      <c r="AX421" s="109"/>
      <c r="AY421" s="109"/>
      <c r="AZ421" s="109"/>
      <c r="BA421" s="109"/>
      <c r="BB421" s="109"/>
      <c r="BC421" s="109"/>
      <c r="BD421" s="109"/>
      <c r="BE421" s="109"/>
      <c r="BF421" s="109"/>
      <c r="BG421" s="109"/>
      <c r="BH421" s="109"/>
      <c r="BI421" s="109"/>
      <c r="BJ421" s="109"/>
      <c r="BK421" s="109"/>
      <c r="BL421" s="109"/>
      <c r="BM421" s="109"/>
      <c r="BN421" s="109"/>
    </row>
    <row r="422" spans="1:66" x14ac:dyDescent="0.2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9"/>
      <c r="AS422" s="109"/>
      <c r="AT422" s="109"/>
      <c r="AU422" s="109"/>
      <c r="AV422" s="109"/>
      <c r="AW422" s="109"/>
      <c r="AX422" s="109"/>
      <c r="AY422" s="109"/>
      <c r="AZ422" s="109"/>
      <c r="BA422" s="109"/>
      <c r="BB422" s="109"/>
      <c r="BC422" s="109"/>
      <c r="BD422" s="109"/>
      <c r="BE422" s="109"/>
      <c r="BF422" s="109"/>
      <c r="BG422" s="109"/>
      <c r="BH422" s="109"/>
      <c r="BI422" s="109"/>
      <c r="BJ422" s="109"/>
      <c r="BK422" s="109"/>
      <c r="BL422" s="109"/>
      <c r="BM422" s="109"/>
      <c r="BN422" s="109"/>
    </row>
    <row r="423" spans="1:66" x14ac:dyDescent="0.2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9"/>
      <c r="AS423" s="109"/>
      <c r="AT423" s="109"/>
      <c r="AU423" s="109"/>
      <c r="AV423" s="109"/>
      <c r="AW423" s="109"/>
      <c r="AX423" s="109"/>
      <c r="AY423" s="109"/>
      <c r="AZ423" s="109"/>
      <c r="BA423" s="109"/>
      <c r="BB423" s="109"/>
      <c r="BC423" s="109"/>
      <c r="BD423" s="109"/>
      <c r="BE423" s="109"/>
      <c r="BF423" s="109"/>
      <c r="BG423" s="109"/>
      <c r="BH423" s="109"/>
      <c r="BI423" s="109"/>
      <c r="BJ423" s="109"/>
      <c r="BK423" s="109"/>
      <c r="BL423" s="109"/>
      <c r="BM423" s="109"/>
      <c r="BN423" s="109"/>
    </row>
    <row r="424" spans="1:66" x14ac:dyDescent="0.2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9"/>
      <c r="AS424" s="109"/>
      <c r="AT424" s="109"/>
      <c r="AU424" s="109"/>
      <c r="AV424" s="109"/>
      <c r="AW424" s="109"/>
      <c r="AX424" s="109"/>
      <c r="AY424" s="109"/>
      <c r="AZ424" s="109"/>
      <c r="BA424" s="109"/>
      <c r="BB424" s="109"/>
      <c r="BC424" s="109"/>
      <c r="BD424" s="109"/>
      <c r="BE424" s="109"/>
      <c r="BF424" s="109"/>
      <c r="BG424" s="109"/>
      <c r="BH424" s="109"/>
      <c r="BI424" s="109"/>
      <c r="BJ424" s="109"/>
      <c r="BK424" s="109"/>
      <c r="BL424" s="109"/>
      <c r="BM424" s="109"/>
      <c r="BN424" s="109"/>
    </row>
    <row r="425" spans="1:66" x14ac:dyDescent="0.2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  <c r="AT425" s="109"/>
      <c r="AU425" s="109"/>
      <c r="AV425" s="109"/>
      <c r="AW425" s="109"/>
      <c r="AX425" s="109"/>
      <c r="AY425" s="109"/>
      <c r="AZ425" s="109"/>
      <c r="BA425" s="109"/>
      <c r="BB425" s="109"/>
      <c r="BC425" s="109"/>
      <c r="BD425" s="109"/>
      <c r="BE425" s="109"/>
      <c r="BF425" s="109"/>
      <c r="BG425" s="109"/>
      <c r="BH425" s="109"/>
      <c r="BI425" s="109"/>
      <c r="BJ425" s="109"/>
      <c r="BK425" s="109"/>
      <c r="BL425" s="109"/>
      <c r="BM425" s="109"/>
      <c r="BN425" s="109"/>
    </row>
    <row r="426" spans="1:66" x14ac:dyDescent="0.2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9"/>
      <c r="AS426" s="109"/>
      <c r="AT426" s="109"/>
      <c r="AU426" s="109"/>
      <c r="AV426" s="109"/>
      <c r="AW426" s="109"/>
      <c r="AX426" s="109"/>
      <c r="AY426" s="109"/>
      <c r="AZ426" s="109"/>
      <c r="BA426" s="109"/>
      <c r="BB426" s="109"/>
      <c r="BC426" s="109"/>
      <c r="BD426" s="109"/>
      <c r="BE426" s="109"/>
      <c r="BF426" s="109"/>
      <c r="BG426" s="109"/>
      <c r="BH426" s="109"/>
      <c r="BI426" s="109"/>
      <c r="BJ426" s="109"/>
      <c r="BK426" s="109"/>
      <c r="BL426" s="109"/>
      <c r="BM426" s="109"/>
      <c r="BN426" s="109"/>
    </row>
    <row r="427" spans="1:66" x14ac:dyDescent="0.2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9"/>
      <c r="AS427" s="109"/>
      <c r="AT427" s="109"/>
      <c r="AU427" s="109"/>
      <c r="AV427" s="109"/>
      <c r="AW427" s="109"/>
      <c r="AX427" s="109"/>
      <c r="AY427" s="109"/>
      <c r="AZ427" s="109"/>
      <c r="BA427" s="109"/>
      <c r="BB427" s="109"/>
      <c r="BC427" s="109"/>
      <c r="BD427" s="109"/>
      <c r="BE427" s="109"/>
      <c r="BF427" s="109"/>
      <c r="BG427" s="109"/>
      <c r="BH427" s="109"/>
      <c r="BI427" s="109"/>
      <c r="BJ427" s="109"/>
      <c r="BK427" s="109"/>
      <c r="BL427" s="109"/>
      <c r="BM427" s="109"/>
      <c r="BN427" s="109"/>
    </row>
    <row r="428" spans="1:66" x14ac:dyDescent="0.2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9"/>
      <c r="AS428" s="109"/>
      <c r="AT428" s="109"/>
      <c r="AU428" s="109"/>
      <c r="AV428" s="109"/>
      <c r="AW428" s="109"/>
      <c r="AX428" s="109"/>
      <c r="AY428" s="109"/>
      <c r="AZ428" s="109"/>
      <c r="BA428" s="109"/>
      <c r="BB428" s="109"/>
      <c r="BC428" s="109"/>
      <c r="BD428" s="109"/>
      <c r="BE428" s="109"/>
      <c r="BF428" s="109"/>
      <c r="BG428" s="109"/>
      <c r="BH428" s="109"/>
      <c r="BI428" s="109"/>
      <c r="BJ428" s="109"/>
      <c r="BK428" s="109"/>
      <c r="BL428" s="109"/>
      <c r="BM428" s="109"/>
      <c r="BN428" s="109"/>
    </row>
    <row r="429" spans="1:66" x14ac:dyDescent="0.2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9"/>
      <c r="AS429" s="109"/>
      <c r="AT429" s="109"/>
      <c r="AU429" s="109"/>
      <c r="AV429" s="109"/>
      <c r="AW429" s="109"/>
      <c r="AX429" s="109"/>
      <c r="AY429" s="109"/>
      <c r="AZ429" s="109"/>
      <c r="BA429" s="109"/>
      <c r="BB429" s="109"/>
      <c r="BC429" s="109"/>
      <c r="BD429" s="109"/>
      <c r="BE429" s="109"/>
      <c r="BF429" s="109"/>
      <c r="BG429" s="109"/>
      <c r="BH429" s="109"/>
      <c r="BI429" s="109"/>
      <c r="BJ429" s="109"/>
      <c r="BK429" s="109"/>
      <c r="BL429" s="109"/>
      <c r="BM429" s="109"/>
      <c r="BN429" s="109"/>
    </row>
    <row r="430" spans="1:66" x14ac:dyDescent="0.2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9"/>
      <c r="AS430" s="109"/>
      <c r="AT430" s="109"/>
      <c r="AU430" s="109"/>
      <c r="AV430" s="109"/>
      <c r="AW430" s="109"/>
      <c r="AX430" s="109"/>
      <c r="AY430" s="109"/>
      <c r="AZ430" s="109"/>
      <c r="BA430" s="109"/>
      <c r="BB430" s="109"/>
      <c r="BC430" s="109"/>
      <c r="BD430" s="109"/>
      <c r="BE430" s="109"/>
      <c r="BF430" s="109"/>
      <c r="BG430" s="109"/>
      <c r="BH430" s="109"/>
      <c r="BI430" s="109"/>
      <c r="BJ430" s="109"/>
      <c r="BK430" s="109"/>
      <c r="BL430" s="109"/>
      <c r="BM430" s="109"/>
      <c r="BN430" s="109"/>
    </row>
    <row r="431" spans="1:66" x14ac:dyDescent="0.2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9"/>
      <c r="AS431" s="109"/>
      <c r="AT431" s="109"/>
      <c r="AU431" s="109"/>
      <c r="AV431" s="109"/>
      <c r="AW431" s="109"/>
      <c r="AX431" s="109"/>
      <c r="AY431" s="109"/>
      <c r="AZ431" s="109"/>
      <c r="BA431" s="109"/>
      <c r="BB431" s="109"/>
      <c r="BC431" s="109"/>
      <c r="BD431" s="109"/>
      <c r="BE431" s="109"/>
      <c r="BF431" s="109"/>
      <c r="BG431" s="109"/>
      <c r="BH431" s="109"/>
      <c r="BI431" s="109"/>
      <c r="BJ431" s="109"/>
      <c r="BK431" s="109"/>
      <c r="BL431" s="109"/>
      <c r="BM431" s="109"/>
      <c r="BN431" s="109"/>
    </row>
    <row r="432" spans="1:66" x14ac:dyDescent="0.2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9"/>
      <c r="AS432" s="109"/>
      <c r="AT432" s="109"/>
      <c r="AU432" s="109"/>
      <c r="AV432" s="109"/>
      <c r="AW432" s="109"/>
      <c r="AX432" s="109"/>
      <c r="AY432" s="109"/>
      <c r="AZ432" s="109"/>
      <c r="BA432" s="109"/>
      <c r="BB432" s="109"/>
      <c r="BC432" s="109"/>
      <c r="BD432" s="109"/>
      <c r="BE432" s="109"/>
      <c r="BF432" s="109"/>
      <c r="BG432" s="109"/>
      <c r="BH432" s="109"/>
      <c r="BI432" s="109"/>
      <c r="BJ432" s="109"/>
      <c r="BK432" s="109"/>
      <c r="BL432" s="109"/>
      <c r="BM432" s="109"/>
      <c r="BN432" s="109"/>
    </row>
    <row r="433" spans="1:66" x14ac:dyDescent="0.2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  <c r="AT433" s="109"/>
      <c r="AU433" s="109"/>
      <c r="AV433" s="109"/>
      <c r="AW433" s="109"/>
      <c r="AX433" s="109"/>
      <c r="AY433" s="109"/>
      <c r="AZ433" s="109"/>
      <c r="BA433" s="109"/>
      <c r="BB433" s="109"/>
      <c r="BC433" s="109"/>
      <c r="BD433" s="109"/>
      <c r="BE433" s="109"/>
      <c r="BF433" s="109"/>
      <c r="BG433" s="109"/>
      <c r="BH433" s="109"/>
      <c r="BI433" s="109"/>
      <c r="BJ433" s="109"/>
      <c r="BK433" s="109"/>
      <c r="BL433" s="109"/>
      <c r="BM433" s="109"/>
      <c r="BN433" s="109"/>
    </row>
    <row r="434" spans="1:66" x14ac:dyDescent="0.2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  <c r="AT434" s="109"/>
      <c r="AU434" s="109"/>
      <c r="AV434" s="109"/>
      <c r="AW434" s="109"/>
      <c r="AX434" s="109"/>
      <c r="AY434" s="109"/>
      <c r="AZ434" s="109"/>
      <c r="BA434" s="109"/>
      <c r="BB434" s="109"/>
      <c r="BC434" s="109"/>
      <c r="BD434" s="109"/>
      <c r="BE434" s="109"/>
      <c r="BF434" s="109"/>
      <c r="BG434" s="109"/>
      <c r="BH434" s="109"/>
      <c r="BI434" s="109"/>
      <c r="BJ434" s="109"/>
      <c r="BK434" s="109"/>
      <c r="BL434" s="109"/>
      <c r="BM434" s="109"/>
      <c r="BN434" s="109"/>
    </row>
    <row r="435" spans="1:66" x14ac:dyDescent="0.2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  <c r="AT435" s="109"/>
      <c r="AU435" s="109"/>
      <c r="AV435" s="109"/>
      <c r="AW435" s="109"/>
      <c r="AX435" s="109"/>
      <c r="AY435" s="109"/>
      <c r="AZ435" s="109"/>
      <c r="BA435" s="109"/>
      <c r="BB435" s="109"/>
      <c r="BC435" s="109"/>
      <c r="BD435" s="109"/>
      <c r="BE435" s="109"/>
      <c r="BF435" s="109"/>
      <c r="BG435" s="109"/>
      <c r="BH435" s="109"/>
      <c r="BI435" s="109"/>
      <c r="BJ435" s="109"/>
      <c r="BK435" s="109"/>
      <c r="BL435" s="109"/>
      <c r="BM435" s="109"/>
      <c r="BN435" s="109"/>
    </row>
    <row r="436" spans="1:66" x14ac:dyDescent="0.2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  <c r="AT436" s="109"/>
      <c r="AU436" s="109"/>
      <c r="AV436" s="109"/>
      <c r="AW436" s="109"/>
      <c r="AX436" s="109"/>
      <c r="AY436" s="109"/>
      <c r="AZ436" s="109"/>
      <c r="BA436" s="109"/>
      <c r="BB436" s="109"/>
      <c r="BC436" s="109"/>
      <c r="BD436" s="109"/>
      <c r="BE436" s="109"/>
      <c r="BF436" s="109"/>
      <c r="BG436" s="109"/>
      <c r="BH436" s="109"/>
      <c r="BI436" s="109"/>
      <c r="BJ436" s="109"/>
      <c r="BK436" s="109"/>
      <c r="BL436" s="109"/>
      <c r="BM436" s="109"/>
      <c r="BN436" s="109"/>
    </row>
    <row r="437" spans="1:66" x14ac:dyDescent="0.2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  <c r="AT437" s="109"/>
      <c r="AU437" s="109"/>
      <c r="AV437" s="109"/>
      <c r="AW437" s="109"/>
      <c r="AX437" s="109"/>
      <c r="AY437" s="109"/>
      <c r="AZ437" s="109"/>
      <c r="BA437" s="109"/>
      <c r="BB437" s="109"/>
      <c r="BC437" s="109"/>
      <c r="BD437" s="109"/>
      <c r="BE437" s="109"/>
      <c r="BF437" s="109"/>
      <c r="BG437" s="109"/>
      <c r="BH437" s="109"/>
      <c r="BI437" s="109"/>
      <c r="BJ437" s="109"/>
      <c r="BK437" s="109"/>
      <c r="BL437" s="109"/>
      <c r="BM437" s="109"/>
      <c r="BN437" s="109"/>
    </row>
    <row r="438" spans="1:66" x14ac:dyDescent="0.2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  <c r="AT438" s="109"/>
      <c r="AU438" s="109"/>
      <c r="AV438" s="109"/>
      <c r="AW438" s="109"/>
      <c r="AX438" s="109"/>
      <c r="AY438" s="109"/>
      <c r="AZ438" s="109"/>
      <c r="BA438" s="109"/>
      <c r="BB438" s="109"/>
      <c r="BC438" s="109"/>
      <c r="BD438" s="109"/>
      <c r="BE438" s="109"/>
      <c r="BF438" s="109"/>
      <c r="BG438" s="109"/>
      <c r="BH438" s="109"/>
      <c r="BI438" s="109"/>
      <c r="BJ438" s="109"/>
      <c r="BK438" s="109"/>
      <c r="BL438" s="109"/>
      <c r="BM438" s="109"/>
      <c r="BN438" s="109"/>
    </row>
    <row r="439" spans="1:66" x14ac:dyDescent="0.2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  <c r="AT439" s="109"/>
      <c r="AU439" s="109"/>
      <c r="AV439" s="109"/>
      <c r="AW439" s="109"/>
      <c r="AX439" s="109"/>
      <c r="AY439" s="109"/>
      <c r="AZ439" s="109"/>
      <c r="BA439" s="109"/>
      <c r="BB439" s="109"/>
      <c r="BC439" s="109"/>
      <c r="BD439" s="109"/>
      <c r="BE439" s="109"/>
      <c r="BF439" s="109"/>
      <c r="BG439" s="109"/>
      <c r="BH439" s="109"/>
      <c r="BI439" s="109"/>
      <c r="BJ439" s="109"/>
      <c r="BK439" s="109"/>
      <c r="BL439" s="109"/>
      <c r="BM439" s="109"/>
      <c r="BN439" s="109"/>
    </row>
    <row r="440" spans="1:66" x14ac:dyDescent="0.2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  <c r="AT440" s="109"/>
      <c r="AU440" s="109"/>
      <c r="AV440" s="109"/>
      <c r="AW440" s="109"/>
      <c r="AX440" s="109"/>
      <c r="AY440" s="109"/>
      <c r="AZ440" s="109"/>
      <c r="BA440" s="109"/>
      <c r="BB440" s="109"/>
      <c r="BC440" s="109"/>
      <c r="BD440" s="109"/>
      <c r="BE440" s="109"/>
      <c r="BF440" s="109"/>
      <c r="BG440" s="109"/>
      <c r="BH440" s="109"/>
      <c r="BI440" s="109"/>
      <c r="BJ440" s="109"/>
      <c r="BK440" s="109"/>
      <c r="BL440" s="109"/>
      <c r="BM440" s="109"/>
      <c r="BN440" s="109"/>
    </row>
    <row r="441" spans="1:66" x14ac:dyDescent="0.2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  <c r="AT441" s="109"/>
      <c r="AU441" s="109"/>
      <c r="AV441" s="109"/>
      <c r="AW441" s="109"/>
      <c r="AX441" s="109"/>
      <c r="AY441" s="109"/>
      <c r="AZ441" s="109"/>
      <c r="BA441" s="109"/>
      <c r="BB441" s="109"/>
      <c r="BC441" s="109"/>
      <c r="BD441" s="109"/>
      <c r="BE441" s="109"/>
      <c r="BF441" s="109"/>
      <c r="BG441" s="109"/>
      <c r="BH441" s="109"/>
      <c r="BI441" s="109"/>
      <c r="BJ441" s="109"/>
      <c r="BK441" s="109"/>
      <c r="BL441" s="109"/>
      <c r="BM441" s="109"/>
      <c r="BN441" s="109"/>
    </row>
    <row r="442" spans="1:66" x14ac:dyDescent="0.2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  <c r="AT442" s="109"/>
      <c r="AU442" s="109"/>
      <c r="AV442" s="109"/>
      <c r="AW442" s="109"/>
      <c r="AX442" s="109"/>
      <c r="AY442" s="109"/>
      <c r="AZ442" s="109"/>
      <c r="BA442" s="109"/>
      <c r="BB442" s="109"/>
      <c r="BC442" s="109"/>
      <c r="BD442" s="109"/>
      <c r="BE442" s="109"/>
      <c r="BF442" s="109"/>
      <c r="BG442" s="109"/>
      <c r="BH442" s="109"/>
      <c r="BI442" s="109"/>
      <c r="BJ442" s="109"/>
      <c r="BK442" s="109"/>
      <c r="BL442" s="109"/>
      <c r="BM442" s="109"/>
      <c r="BN442" s="109"/>
    </row>
    <row r="443" spans="1:66" x14ac:dyDescent="0.2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  <c r="AT443" s="109"/>
      <c r="AU443" s="109"/>
      <c r="AV443" s="109"/>
      <c r="AW443" s="109"/>
      <c r="AX443" s="109"/>
      <c r="AY443" s="109"/>
      <c r="AZ443" s="109"/>
      <c r="BA443" s="109"/>
      <c r="BB443" s="109"/>
      <c r="BC443" s="109"/>
      <c r="BD443" s="109"/>
      <c r="BE443" s="109"/>
      <c r="BF443" s="109"/>
      <c r="BG443" s="109"/>
      <c r="BH443" s="109"/>
      <c r="BI443" s="109"/>
      <c r="BJ443" s="109"/>
      <c r="BK443" s="109"/>
      <c r="BL443" s="109"/>
      <c r="BM443" s="109"/>
      <c r="BN443" s="109"/>
    </row>
    <row r="444" spans="1:66" x14ac:dyDescent="0.2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  <c r="AT444" s="109"/>
      <c r="AU444" s="109"/>
      <c r="AV444" s="109"/>
      <c r="AW444" s="109"/>
      <c r="AX444" s="109"/>
      <c r="AY444" s="109"/>
      <c r="AZ444" s="109"/>
      <c r="BA444" s="109"/>
      <c r="BB444" s="109"/>
      <c r="BC444" s="109"/>
      <c r="BD444" s="109"/>
      <c r="BE444" s="109"/>
      <c r="BF444" s="109"/>
      <c r="BG444" s="109"/>
      <c r="BH444" s="109"/>
      <c r="BI444" s="109"/>
      <c r="BJ444" s="109"/>
      <c r="BK444" s="109"/>
      <c r="BL444" s="109"/>
      <c r="BM444" s="109"/>
      <c r="BN444" s="109"/>
    </row>
    <row r="445" spans="1:66" x14ac:dyDescent="0.2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  <c r="AT445" s="109"/>
      <c r="AU445" s="109"/>
      <c r="AV445" s="109"/>
      <c r="AW445" s="109"/>
      <c r="AX445" s="109"/>
      <c r="AY445" s="109"/>
      <c r="AZ445" s="109"/>
      <c r="BA445" s="109"/>
      <c r="BB445" s="109"/>
      <c r="BC445" s="109"/>
      <c r="BD445" s="109"/>
      <c r="BE445" s="109"/>
      <c r="BF445" s="109"/>
      <c r="BG445" s="109"/>
      <c r="BH445" s="109"/>
      <c r="BI445" s="109"/>
      <c r="BJ445" s="109"/>
      <c r="BK445" s="109"/>
      <c r="BL445" s="109"/>
      <c r="BM445" s="109"/>
      <c r="BN445" s="109"/>
    </row>
    <row r="446" spans="1:66" x14ac:dyDescent="0.2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  <c r="AT446" s="109"/>
      <c r="AU446" s="109"/>
      <c r="AV446" s="109"/>
      <c r="AW446" s="109"/>
      <c r="AX446" s="109"/>
      <c r="AY446" s="109"/>
      <c r="AZ446" s="109"/>
      <c r="BA446" s="109"/>
      <c r="BB446" s="109"/>
      <c r="BC446" s="109"/>
      <c r="BD446" s="109"/>
      <c r="BE446" s="109"/>
      <c r="BF446" s="109"/>
      <c r="BG446" s="109"/>
      <c r="BH446" s="109"/>
      <c r="BI446" s="109"/>
      <c r="BJ446" s="109"/>
      <c r="BK446" s="109"/>
      <c r="BL446" s="109"/>
      <c r="BM446" s="109"/>
      <c r="BN446" s="109"/>
    </row>
    <row r="447" spans="1:66" x14ac:dyDescent="0.2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  <c r="AT447" s="109"/>
      <c r="AU447" s="109"/>
      <c r="AV447" s="109"/>
      <c r="AW447" s="109"/>
      <c r="AX447" s="109"/>
      <c r="AY447" s="109"/>
      <c r="AZ447" s="109"/>
      <c r="BA447" s="109"/>
      <c r="BB447" s="109"/>
      <c r="BC447" s="109"/>
      <c r="BD447" s="109"/>
      <c r="BE447" s="109"/>
      <c r="BF447" s="109"/>
      <c r="BG447" s="109"/>
      <c r="BH447" s="109"/>
      <c r="BI447" s="109"/>
      <c r="BJ447" s="109"/>
      <c r="BK447" s="109"/>
      <c r="BL447" s="109"/>
      <c r="BM447" s="109"/>
      <c r="BN447" s="109"/>
    </row>
    <row r="448" spans="1:66" x14ac:dyDescent="0.2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  <c r="AT448" s="109"/>
      <c r="AU448" s="109"/>
      <c r="AV448" s="109"/>
      <c r="AW448" s="109"/>
      <c r="AX448" s="109"/>
      <c r="AY448" s="109"/>
      <c r="AZ448" s="109"/>
      <c r="BA448" s="109"/>
      <c r="BB448" s="109"/>
      <c r="BC448" s="109"/>
      <c r="BD448" s="109"/>
      <c r="BE448" s="109"/>
      <c r="BF448" s="109"/>
      <c r="BG448" s="109"/>
      <c r="BH448" s="109"/>
      <c r="BI448" s="109"/>
      <c r="BJ448" s="109"/>
      <c r="BK448" s="109"/>
      <c r="BL448" s="109"/>
      <c r="BM448" s="109"/>
      <c r="BN448" s="109"/>
    </row>
    <row r="449" spans="1:66" x14ac:dyDescent="0.2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  <c r="AT449" s="109"/>
      <c r="AU449" s="109"/>
      <c r="AV449" s="109"/>
      <c r="AW449" s="109"/>
      <c r="AX449" s="109"/>
      <c r="AY449" s="109"/>
      <c r="AZ449" s="109"/>
      <c r="BA449" s="109"/>
      <c r="BB449" s="109"/>
      <c r="BC449" s="109"/>
      <c r="BD449" s="109"/>
      <c r="BE449" s="109"/>
      <c r="BF449" s="109"/>
      <c r="BG449" s="109"/>
      <c r="BH449" s="109"/>
      <c r="BI449" s="109"/>
      <c r="BJ449" s="109"/>
      <c r="BK449" s="109"/>
      <c r="BL449" s="109"/>
      <c r="BM449" s="109"/>
      <c r="BN449" s="109"/>
    </row>
    <row r="450" spans="1:66" x14ac:dyDescent="0.2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  <c r="AT450" s="109"/>
      <c r="AU450" s="109"/>
      <c r="AV450" s="109"/>
      <c r="AW450" s="109"/>
      <c r="AX450" s="109"/>
      <c r="AY450" s="109"/>
      <c r="AZ450" s="109"/>
      <c r="BA450" s="109"/>
      <c r="BB450" s="109"/>
      <c r="BC450" s="109"/>
      <c r="BD450" s="109"/>
      <c r="BE450" s="109"/>
      <c r="BF450" s="109"/>
      <c r="BG450" s="109"/>
      <c r="BH450" s="109"/>
      <c r="BI450" s="109"/>
      <c r="BJ450" s="109"/>
      <c r="BK450" s="109"/>
      <c r="BL450" s="109"/>
      <c r="BM450" s="109"/>
      <c r="BN450" s="109"/>
    </row>
    <row r="451" spans="1:66" x14ac:dyDescent="0.2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  <c r="AT451" s="109"/>
      <c r="AU451" s="109"/>
      <c r="AV451" s="109"/>
      <c r="AW451" s="109"/>
      <c r="AX451" s="109"/>
      <c r="AY451" s="109"/>
      <c r="AZ451" s="109"/>
      <c r="BA451" s="109"/>
      <c r="BB451" s="109"/>
      <c r="BC451" s="109"/>
      <c r="BD451" s="109"/>
      <c r="BE451" s="109"/>
      <c r="BF451" s="109"/>
      <c r="BG451" s="109"/>
      <c r="BH451" s="109"/>
      <c r="BI451" s="109"/>
      <c r="BJ451" s="109"/>
      <c r="BK451" s="109"/>
      <c r="BL451" s="109"/>
      <c r="BM451" s="109"/>
      <c r="BN451" s="109"/>
    </row>
    <row r="452" spans="1:66" x14ac:dyDescent="0.2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  <c r="BA452" s="109"/>
      <c r="BB452" s="109"/>
      <c r="BC452" s="109"/>
      <c r="BD452" s="109"/>
      <c r="BE452" s="109"/>
      <c r="BF452" s="109"/>
      <c r="BG452" s="109"/>
      <c r="BH452" s="109"/>
      <c r="BI452" s="109"/>
      <c r="BJ452" s="109"/>
      <c r="BK452" s="109"/>
      <c r="BL452" s="109"/>
      <c r="BM452" s="109"/>
      <c r="BN452" s="109"/>
    </row>
    <row r="453" spans="1:66" x14ac:dyDescent="0.2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  <c r="AT453" s="109"/>
      <c r="AU453" s="109"/>
      <c r="AV453" s="109"/>
      <c r="AW453" s="109"/>
      <c r="AX453" s="109"/>
      <c r="AY453" s="109"/>
      <c r="AZ453" s="109"/>
      <c r="BA453" s="109"/>
      <c r="BB453" s="109"/>
      <c r="BC453" s="109"/>
      <c r="BD453" s="109"/>
      <c r="BE453" s="109"/>
      <c r="BF453" s="109"/>
      <c r="BG453" s="109"/>
      <c r="BH453" s="109"/>
      <c r="BI453" s="109"/>
      <c r="BJ453" s="109"/>
      <c r="BK453" s="109"/>
      <c r="BL453" s="109"/>
      <c r="BM453" s="109"/>
      <c r="BN453" s="109"/>
    </row>
    <row r="454" spans="1:66" x14ac:dyDescent="0.2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  <c r="AV454" s="109"/>
      <c r="AW454" s="109"/>
      <c r="AX454" s="109"/>
      <c r="AY454" s="109"/>
      <c r="AZ454" s="109"/>
      <c r="BA454" s="109"/>
      <c r="BB454" s="109"/>
      <c r="BC454" s="109"/>
      <c r="BD454" s="109"/>
      <c r="BE454" s="109"/>
      <c r="BF454" s="109"/>
      <c r="BG454" s="109"/>
      <c r="BH454" s="109"/>
      <c r="BI454" s="109"/>
      <c r="BJ454" s="109"/>
      <c r="BK454" s="109"/>
      <c r="BL454" s="109"/>
      <c r="BM454" s="109"/>
      <c r="BN454" s="109"/>
    </row>
    <row r="455" spans="1:66" x14ac:dyDescent="0.2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  <c r="AT455" s="109"/>
      <c r="AU455" s="109"/>
      <c r="AV455" s="109"/>
      <c r="AW455" s="109"/>
      <c r="AX455" s="109"/>
      <c r="AY455" s="109"/>
      <c r="AZ455" s="109"/>
      <c r="BA455" s="109"/>
      <c r="BB455" s="109"/>
      <c r="BC455" s="109"/>
      <c r="BD455" s="109"/>
      <c r="BE455" s="109"/>
      <c r="BF455" s="109"/>
      <c r="BG455" s="109"/>
      <c r="BH455" s="109"/>
      <c r="BI455" s="109"/>
      <c r="BJ455" s="109"/>
      <c r="BK455" s="109"/>
      <c r="BL455" s="109"/>
      <c r="BM455" s="109"/>
      <c r="BN455" s="109"/>
    </row>
    <row r="456" spans="1:66" x14ac:dyDescent="0.2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  <c r="AT456" s="109"/>
      <c r="AU456" s="109"/>
      <c r="AV456" s="109"/>
      <c r="AW456" s="109"/>
      <c r="AX456" s="109"/>
      <c r="AY456" s="109"/>
      <c r="AZ456" s="109"/>
      <c r="BA456" s="109"/>
      <c r="BB456" s="109"/>
      <c r="BC456" s="109"/>
      <c r="BD456" s="109"/>
      <c r="BE456" s="109"/>
      <c r="BF456" s="109"/>
      <c r="BG456" s="109"/>
      <c r="BH456" s="109"/>
      <c r="BI456" s="109"/>
      <c r="BJ456" s="109"/>
      <c r="BK456" s="109"/>
      <c r="BL456" s="109"/>
      <c r="BM456" s="109"/>
      <c r="BN456" s="109"/>
    </row>
    <row r="457" spans="1:66" x14ac:dyDescent="0.2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  <c r="AV457" s="109"/>
      <c r="AW457" s="109"/>
      <c r="AX457" s="109"/>
      <c r="AY457" s="109"/>
      <c r="AZ457" s="109"/>
      <c r="BA457" s="109"/>
      <c r="BB457" s="109"/>
      <c r="BC457" s="109"/>
      <c r="BD457" s="109"/>
      <c r="BE457" s="109"/>
      <c r="BF457" s="109"/>
      <c r="BG457" s="109"/>
      <c r="BH457" s="109"/>
      <c r="BI457" s="109"/>
      <c r="BJ457" s="109"/>
      <c r="BK457" s="109"/>
      <c r="BL457" s="109"/>
      <c r="BM457" s="109"/>
      <c r="BN457" s="109"/>
    </row>
    <row r="458" spans="1:66" x14ac:dyDescent="0.2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  <c r="AV458" s="109"/>
      <c r="AW458" s="109"/>
      <c r="AX458" s="109"/>
      <c r="AY458" s="109"/>
      <c r="AZ458" s="109"/>
      <c r="BA458" s="109"/>
      <c r="BB458" s="109"/>
      <c r="BC458" s="109"/>
      <c r="BD458" s="109"/>
      <c r="BE458" s="109"/>
      <c r="BF458" s="109"/>
      <c r="BG458" s="109"/>
      <c r="BH458" s="109"/>
      <c r="BI458" s="109"/>
      <c r="BJ458" s="109"/>
      <c r="BK458" s="109"/>
      <c r="BL458" s="109"/>
      <c r="BM458" s="109"/>
      <c r="BN458" s="109"/>
    </row>
    <row r="459" spans="1:66" x14ac:dyDescent="0.2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  <c r="AV459" s="109"/>
      <c r="AW459" s="109"/>
      <c r="AX459" s="109"/>
      <c r="AY459" s="109"/>
      <c r="AZ459" s="109"/>
      <c r="BA459" s="109"/>
      <c r="BB459" s="109"/>
      <c r="BC459" s="109"/>
      <c r="BD459" s="109"/>
      <c r="BE459" s="109"/>
      <c r="BF459" s="109"/>
      <c r="BG459" s="109"/>
      <c r="BH459" s="109"/>
      <c r="BI459" s="109"/>
      <c r="BJ459" s="109"/>
      <c r="BK459" s="109"/>
      <c r="BL459" s="109"/>
      <c r="BM459" s="109"/>
      <c r="BN459" s="109"/>
    </row>
    <row r="460" spans="1:66" x14ac:dyDescent="0.2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  <c r="AT460" s="109"/>
      <c r="AU460" s="109"/>
      <c r="AV460" s="109"/>
      <c r="AW460" s="109"/>
      <c r="AX460" s="109"/>
      <c r="AY460" s="109"/>
      <c r="AZ460" s="109"/>
      <c r="BA460" s="109"/>
      <c r="BB460" s="109"/>
      <c r="BC460" s="109"/>
      <c r="BD460" s="109"/>
      <c r="BE460" s="109"/>
      <c r="BF460" s="109"/>
      <c r="BG460" s="109"/>
      <c r="BH460" s="109"/>
      <c r="BI460" s="109"/>
      <c r="BJ460" s="109"/>
      <c r="BK460" s="109"/>
      <c r="BL460" s="109"/>
      <c r="BM460" s="109"/>
      <c r="BN460" s="109"/>
    </row>
    <row r="461" spans="1:66" x14ac:dyDescent="0.2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  <c r="AT461" s="109"/>
      <c r="AU461" s="109"/>
      <c r="AV461" s="109"/>
      <c r="AW461" s="109"/>
      <c r="AX461" s="109"/>
      <c r="AY461" s="109"/>
      <c r="AZ461" s="109"/>
      <c r="BA461" s="109"/>
      <c r="BB461" s="109"/>
      <c r="BC461" s="109"/>
      <c r="BD461" s="109"/>
      <c r="BE461" s="109"/>
      <c r="BF461" s="109"/>
      <c r="BG461" s="109"/>
      <c r="BH461" s="109"/>
      <c r="BI461" s="109"/>
      <c r="BJ461" s="109"/>
      <c r="BK461" s="109"/>
      <c r="BL461" s="109"/>
      <c r="BM461" s="109"/>
      <c r="BN461" s="109"/>
    </row>
    <row r="462" spans="1:66" x14ac:dyDescent="0.2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  <c r="AT462" s="109"/>
      <c r="AU462" s="109"/>
      <c r="AV462" s="109"/>
      <c r="AW462" s="109"/>
      <c r="AX462" s="109"/>
      <c r="AY462" s="109"/>
      <c r="AZ462" s="109"/>
      <c r="BA462" s="109"/>
      <c r="BB462" s="109"/>
      <c r="BC462" s="109"/>
      <c r="BD462" s="109"/>
      <c r="BE462" s="109"/>
      <c r="BF462" s="109"/>
      <c r="BG462" s="109"/>
      <c r="BH462" s="109"/>
      <c r="BI462" s="109"/>
      <c r="BJ462" s="109"/>
      <c r="BK462" s="109"/>
      <c r="BL462" s="109"/>
      <c r="BM462" s="109"/>
      <c r="BN462" s="109"/>
    </row>
    <row r="463" spans="1:66" x14ac:dyDescent="0.2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  <c r="AT463" s="109"/>
      <c r="AU463" s="109"/>
      <c r="AV463" s="109"/>
      <c r="AW463" s="109"/>
      <c r="AX463" s="109"/>
      <c r="AY463" s="109"/>
      <c r="AZ463" s="109"/>
      <c r="BA463" s="109"/>
      <c r="BB463" s="109"/>
      <c r="BC463" s="109"/>
      <c r="BD463" s="109"/>
      <c r="BE463" s="109"/>
      <c r="BF463" s="109"/>
      <c r="BG463" s="109"/>
      <c r="BH463" s="109"/>
      <c r="BI463" s="109"/>
      <c r="BJ463" s="109"/>
      <c r="BK463" s="109"/>
      <c r="BL463" s="109"/>
      <c r="BM463" s="109"/>
      <c r="BN463" s="109"/>
    </row>
    <row r="464" spans="1:66" x14ac:dyDescent="0.2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  <c r="AT464" s="109"/>
      <c r="AU464" s="109"/>
      <c r="AV464" s="109"/>
      <c r="AW464" s="109"/>
      <c r="AX464" s="109"/>
      <c r="AY464" s="109"/>
      <c r="AZ464" s="109"/>
      <c r="BA464" s="109"/>
      <c r="BB464" s="109"/>
      <c r="BC464" s="109"/>
      <c r="BD464" s="109"/>
      <c r="BE464" s="109"/>
      <c r="BF464" s="109"/>
      <c r="BG464" s="109"/>
      <c r="BH464" s="109"/>
      <c r="BI464" s="109"/>
      <c r="BJ464" s="109"/>
      <c r="BK464" s="109"/>
      <c r="BL464" s="109"/>
      <c r="BM464" s="109"/>
      <c r="BN464" s="109"/>
    </row>
    <row r="465" spans="1:66" x14ac:dyDescent="0.2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  <c r="AT465" s="109"/>
      <c r="AU465" s="109"/>
      <c r="AV465" s="109"/>
      <c r="AW465" s="109"/>
      <c r="AX465" s="109"/>
      <c r="AY465" s="109"/>
      <c r="AZ465" s="109"/>
      <c r="BA465" s="109"/>
      <c r="BB465" s="109"/>
      <c r="BC465" s="109"/>
      <c r="BD465" s="109"/>
      <c r="BE465" s="109"/>
      <c r="BF465" s="109"/>
      <c r="BG465" s="109"/>
      <c r="BH465" s="109"/>
      <c r="BI465" s="109"/>
      <c r="BJ465" s="109"/>
      <c r="BK465" s="109"/>
      <c r="BL465" s="109"/>
      <c r="BM465" s="109"/>
      <c r="BN465" s="109"/>
    </row>
    <row r="466" spans="1:66" x14ac:dyDescent="0.2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  <c r="AT466" s="109"/>
      <c r="AU466" s="109"/>
      <c r="AV466" s="109"/>
      <c r="AW466" s="109"/>
      <c r="AX466" s="109"/>
      <c r="AY466" s="109"/>
      <c r="AZ466" s="109"/>
      <c r="BA466" s="109"/>
      <c r="BB466" s="109"/>
      <c r="BC466" s="109"/>
      <c r="BD466" s="109"/>
      <c r="BE466" s="109"/>
      <c r="BF466" s="109"/>
      <c r="BG466" s="109"/>
      <c r="BH466" s="109"/>
      <c r="BI466" s="109"/>
      <c r="BJ466" s="109"/>
      <c r="BK466" s="109"/>
      <c r="BL466" s="109"/>
      <c r="BM466" s="109"/>
      <c r="BN466" s="109"/>
    </row>
    <row r="467" spans="1:66" x14ac:dyDescent="0.2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  <c r="AT467" s="109"/>
      <c r="AU467" s="109"/>
      <c r="AV467" s="109"/>
      <c r="AW467" s="109"/>
      <c r="AX467" s="109"/>
      <c r="AY467" s="109"/>
      <c r="AZ467" s="109"/>
      <c r="BA467" s="109"/>
      <c r="BB467" s="109"/>
      <c r="BC467" s="109"/>
      <c r="BD467" s="109"/>
      <c r="BE467" s="109"/>
      <c r="BF467" s="109"/>
      <c r="BG467" s="109"/>
      <c r="BH467" s="109"/>
      <c r="BI467" s="109"/>
      <c r="BJ467" s="109"/>
      <c r="BK467" s="109"/>
      <c r="BL467" s="109"/>
      <c r="BM467" s="109"/>
      <c r="BN467" s="109"/>
    </row>
    <row r="468" spans="1:66" x14ac:dyDescent="0.2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  <c r="AV468" s="109"/>
      <c r="AW468" s="109"/>
      <c r="AX468" s="109"/>
      <c r="AY468" s="109"/>
      <c r="AZ468" s="109"/>
      <c r="BA468" s="109"/>
      <c r="BB468" s="109"/>
      <c r="BC468" s="109"/>
      <c r="BD468" s="109"/>
      <c r="BE468" s="109"/>
      <c r="BF468" s="109"/>
      <c r="BG468" s="109"/>
      <c r="BH468" s="109"/>
      <c r="BI468" s="109"/>
      <c r="BJ468" s="109"/>
      <c r="BK468" s="109"/>
      <c r="BL468" s="109"/>
      <c r="BM468" s="109"/>
      <c r="BN468" s="109"/>
    </row>
    <row r="469" spans="1:66" x14ac:dyDescent="0.2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  <c r="AT469" s="109"/>
      <c r="AU469" s="109"/>
      <c r="AV469" s="109"/>
      <c r="AW469" s="109"/>
      <c r="AX469" s="109"/>
      <c r="AY469" s="109"/>
      <c r="AZ469" s="109"/>
      <c r="BA469" s="109"/>
      <c r="BB469" s="109"/>
      <c r="BC469" s="109"/>
      <c r="BD469" s="109"/>
      <c r="BE469" s="109"/>
      <c r="BF469" s="109"/>
      <c r="BG469" s="109"/>
      <c r="BH469" s="109"/>
      <c r="BI469" s="109"/>
      <c r="BJ469" s="109"/>
      <c r="BK469" s="109"/>
      <c r="BL469" s="109"/>
      <c r="BM469" s="109"/>
      <c r="BN469" s="109"/>
    </row>
    <row r="470" spans="1:66" x14ac:dyDescent="0.2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  <c r="AT470" s="109"/>
      <c r="AU470" s="109"/>
      <c r="AV470" s="109"/>
      <c r="AW470" s="109"/>
      <c r="AX470" s="109"/>
      <c r="AY470" s="109"/>
      <c r="AZ470" s="109"/>
      <c r="BA470" s="109"/>
      <c r="BB470" s="109"/>
      <c r="BC470" s="109"/>
      <c r="BD470" s="109"/>
      <c r="BE470" s="109"/>
      <c r="BF470" s="109"/>
      <c r="BG470" s="109"/>
      <c r="BH470" s="109"/>
      <c r="BI470" s="109"/>
      <c r="BJ470" s="109"/>
      <c r="BK470" s="109"/>
      <c r="BL470" s="109"/>
      <c r="BM470" s="109"/>
      <c r="BN470" s="109"/>
    </row>
    <row r="471" spans="1:66" x14ac:dyDescent="0.2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  <c r="AT471" s="109"/>
      <c r="AU471" s="109"/>
      <c r="AV471" s="109"/>
      <c r="AW471" s="109"/>
      <c r="AX471" s="109"/>
      <c r="AY471" s="109"/>
      <c r="AZ471" s="109"/>
      <c r="BA471" s="109"/>
      <c r="BB471" s="109"/>
      <c r="BC471" s="109"/>
      <c r="BD471" s="109"/>
      <c r="BE471" s="109"/>
      <c r="BF471" s="109"/>
      <c r="BG471" s="109"/>
      <c r="BH471" s="109"/>
      <c r="BI471" s="109"/>
      <c r="BJ471" s="109"/>
      <c r="BK471" s="109"/>
      <c r="BL471" s="109"/>
      <c r="BM471" s="109"/>
      <c r="BN471" s="109"/>
    </row>
    <row r="472" spans="1:66" x14ac:dyDescent="0.2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  <c r="AT472" s="109"/>
      <c r="AU472" s="109"/>
      <c r="AV472" s="109"/>
      <c r="AW472" s="109"/>
      <c r="AX472" s="109"/>
      <c r="AY472" s="109"/>
      <c r="AZ472" s="109"/>
      <c r="BA472" s="109"/>
      <c r="BB472" s="109"/>
      <c r="BC472" s="109"/>
      <c r="BD472" s="109"/>
      <c r="BE472" s="109"/>
      <c r="BF472" s="109"/>
      <c r="BG472" s="109"/>
      <c r="BH472" s="109"/>
      <c r="BI472" s="109"/>
      <c r="BJ472" s="109"/>
      <c r="BK472" s="109"/>
      <c r="BL472" s="109"/>
      <c r="BM472" s="109"/>
      <c r="BN472" s="109"/>
    </row>
    <row r="473" spans="1:66" x14ac:dyDescent="0.2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  <c r="AS473" s="109"/>
      <c r="AT473" s="109"/>
      <c r="AU473" s="109"/>
      <c r="AV473" s="109"/>
      <c r="AW473" s="109"/>
      <c r="AX473" s="109"/>
      <c r="AY473" s="109"/>
      <c r="AZ473" s="109"/>
      <c r="BA473" s="109"/>
      <c r="BB473" s="109"/>
      <c r="BC473" s="109"/>
      <c r="BD473" s="109"/>
      <c r="BE473" s="109"/>
      <c r="BF473" s="109"/>
      <c r="BG473" s="109"/>
      <c r="BH473" s="109"/>
      <c r="BI473" s="109"/>
      <c r="BJ473" s="109"/>
      <c r="BK473" s="109"/>
      <c r="BL473" s="109"/>
      <c r="BM473" s="109"/>
      <c r="BN473" s="109"/>
    </row>
    <row r="474" spans="1:66" x14ac:dyDescent="0.2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  <c r="AT474" s="109"/>
      <c r="AU474" s="109"/>
      <c r="AV474" s="109"/>
      <c r="AW474" s="109"/>
      <c r="AX474" s="109"/>
      <c r="AY474" s="109"/>
      <c r="AZ474" s="109"/>
      <c r="BA474" s="109"/>
      <c r="BB474" s="109"/>
      <c r="BC474" s="109"/>
      <c r="BD474" s="109"/>
      <c r="BE474" s="109"/>
      <c r="BF474" s="109"/>
      <c r="BG474" s="109"/>
      <c r="BH474" s="109"/>
      <c r="BI474" s="109"/>
      <c r="BJ474" s="109"/>
      <c r="BK474" s="109"/>
      <c r="BL474" s="109"/>
      <c r="BM474" s="109"/>
      <c r="BN474" s="109"/>
    </row>
    <row r="475" spans="1:66" x14ac:dyDescent="0.2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  <c r="AS475" s="109"/>
      <c r="AT475" s="109"/>
      <c r="AU475" s="109"/>
      <c r="AV475" s="109"/>
      <c r="AW475" s="109"/>
      <c r="AX475" s="109"/>
      <c r="AY475" s="109"/>
      <c r="AZ475" s="109"/>
      <c r="BA475" s="109"/>
      <c r="BB475" s="109"/>
      <c r="BC475" s="109"/>
      <c r="BD475" s="109"/>
      <c r="BE475" s="109"/>
      <c r="BF475" s="109"/>
      <c r="BG475" s="109"/>
      <c r="BH475" s="109"/>
      <c r="BI475" s="109"/>
      <c r="BJ475" s="109"/>
      <c r="BK475" s="109"/>
      <c r="BL475" s="109"/>
      <c r="BM475" s="109"/>
      <c r="BN475" s="109"/>
    </row>
    <row r="476" spans="1:66" x14ac:dyDescent="0.2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  <c r="AS476" s="109"/>
      <c r="AT476" s="109"/>
      <c r="AU476" s="109"/>
      <c r="AV476" s="109"/>
      <c r="AW476" s="109"/>
      <c r="AX476" s="109"/>
      <c r="AY476" s="109"/>
      <c r="AZ476" s="109"/>
      <c r="BA476" s="109"/>
      <c r="BB476" s="109"/>
      <c r="BC476" s="109"/>
      <c r="BD476" s="109"/>
      <c r="BE476" s="109"/>
      <c r="BF476" s="109"/>
      <c r="BG476" s="109"/>
      <c r="BH476" s="109"/>
      <c r="BI476" s="109"/>
      <c r="BJ476" s="109"/>
      <c r="BK476" s="109"/>
      <c r="BL476" s="109"/>
      <c r="BM476" s="109"/>
      <c r="BN476" s="109"/>
    </row>
    <row r="477" spans="1:66" x14ac:dyDescent="0.2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  <c r="AS477" s="109"/>
      <c r="AT477" s="109"/>
      <c r="AU477" s="109"/>
      <c r="AV477" s="109"/>
      <c r="AW477" s="109"/>
      <c r="AX477" s="109"/>
      <c r="AY477" s="109"/>
      <c r="AZ477" s="109"/>
      <c r="BA477" s="109"/>
      <c r="BB477" s="109"/>
      <c r="BC477" s="109"/>
      <c r="BD477" s="109"/>
      <c r="BE477" s="109"/>
      <c r="BF477" s="109"/>
      <c r="BG477" s="109"/>
      <c r="BH477" s="109"/>
      <c r="BI477" s="109"/>
      <c r="BJ477" s="109"/>
      <c r="BK477" s="109"/>
      <c r="BL477" s="109"/>
      <c r="BM477" s="109"/>
      <c r="BN477" s="109"/>
    </row>
    <row r="478" spans="1:66" x14ac:dyDescent="0.2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  <c r="AS478" s="109"/>
      <c r="AT478" s="109"/>
      <c r="AU478" s="109"/>
      <c r="AV478" s="109"/>
      <c r="AW478" s="109"/>
      <c r="AX478" s="109"/>
      <c r="AY478" s="109"/>
      <c r="AZ478" s="109"/>
      <c r="BA478" s="109"/>
      <c r="BB478" s="109"/>
      <c r="BC478" s="109"/>
      <c r="BD478" s="109"/>
      <c r="BE478" s="109"/>
      <c r="BF478" s="109"/>
      <c r="BG478" s="109"/>
      <c r="BH478" s="109"/>
      <c r="BI478" s="109"/>
      <c r="BJ478" s="109"/>
      <c r="BK478" s="109"/>
      <c r="BL478" s="109"/>
      <c r="BM478" s="109"/>
      <c r="BN478" s="109"/>
    </row>
    <row r="479" spans="1:66" x14ac:dyDescent="0.2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  <c r="AS479" s="109"/>
      <c r="AT479" s="109"/>
      <c r="AU479" s="109"/>
      <c r="AV479" s="109"/>
      <c r="AW479" s="109"/>
      <c r="AX479" s="109"/>
      <c r="AY479" s="109"/>
      <c r="AZ479" s="109"/>
      <c r="BA479" s="109"/>
      <c r="BB479" s="109"/>
      <c r="BC479" s="109"/>
      <c r="BD479" s="109"/>
      <c r="BE479" s="109"/>
      <c r="BF479" s="109"/>
      <c r="BG479" s="109"/>
      <c r="BH479" s="109"/>
      <c r="BI479" s="109"/>
      <c r="BJ479" s="109"/>
      <c r="BK479" s="109"/>
      <c r="BL479" s="109"/>
      <c r="BM479" s="109"/>
      <c r="BN479" s="109"/>
    </row>
    <row r="480" spans="1:66" x14ac:dyDescent="0.2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  <c r="AS480" s="109"/>
      <c r="AT480" s="109"/>
      <c r="AU480" s="109"/>
      <c r="AV480" s="109"/>
      <c r="AW480" s="109"/>
      <c r="AX480" s="109"/>
      <c r="AY480" s="109"/>
      <c r="AZ480" s="109"/>
      <c r="BA480" s="109"/>
      <c r="BB480" s="109"/>
      <c r="BC480" s="109"/>
      <c r="BD480" s="109"/>
      <c r="BE480" s="109"/>
      <c r="BF480" s="109"/>
      <c r="BG480" s="109"/>
      <c r="BH480" s="109"/>
      <c r="BI480" s="109"/>
      <c r="BJ480" s="109"/>
      <c r="BK480" s="109"/>
      <c r="BL480" s="109"/>
      <c r="BM480" s="109"/>
      <c r="BN480" s="109"/>
    </row>
    <row r="481" spans="1:66" x14ac:dyDescent="0.2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  <c r="AS481" s="109"/>
      <c r="AT481" s="109"/>
      <c r="AU481" s="109"/>
      <c r="AV481" s="109"/>
      <c r="AW481" s="109"/>
      <c r="AX481" s="109"/>
      <c r="AY481" s="109"/>
      <c r="AZ481" s="109"/>
      <c r="BA481" s="109"/>
      <c r="BB481" s="109"/>
      <c r="BC481" s="109"/>
      <c r="BD481" s="109"/>
      <c r="BE481" s="109"/>
      <c r="BF481" s="109"/>
      <c r="BG481" s="109"/>
      <c r="BH481" s="109"/>
      <c r="BI481" s="109"/>
      <c r="BJ481" s="109"/>
      <c r="BK481" s="109"/>
      <c r="BL481" s="109"/>
      <c r="BM481" s="109"/>
      <c r="BN481" s="109"/>
    </row>
    <row r="482" spans="1:66" x14ac:dyDescent="0.2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09"/>
      <c r="AT482" s="109"/>
      <c r="AU482" s="109"/>
      <c r="AV482" s="109"/>
      <c r="AW482" s="109"/>
      <c r="AX482" s="109"/>
      <c r="AY482" s="109"/>
      <c r="AZ482" s="109"/>
      <c r="BA482" s="109"/>
      <c r="BB482" s="109"/>
      <c r="BC482" s="109"/>
      <c r="BD482" s="109"/>
      <c r="BE482" s="109"/>
      <c r="BF482" s="109"/>
      <c r="BG482" s="109"/>
      <c r="BH482" s="109"/>
      <c r="BI482" s="109"/>
      <c r="BJ482" s="109"/>
      <c r="BK482" s="109"/>
      <c r="BL482" s="109"/>
      <c r="BM482" s="109"/>
      <c r="BN482" s="109"/>
    </row>
    <row r="483" spans="1:66" x14ac:dyDescent="0.2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09"/>
      <c r="AT483" s="109"/>
      <c r="AU483" s="109"/>
      <c r="AV483" s="109"/>
      <c r="AW483" s="109"/>
      <c r="AX483" s="109"/>
      <c r="AY483" s="109"/>
      <c r="AZ483" s="109"/>
      <c r="BA483" s="109"/>
      <c r="BB483" s="109"/>
      <c r="BC483" s="109"/>
      <c r="BD483" s="109"/>
      <c r="BE483" s="109"/>
      <c r="BF483" s="109"/>
      <c r="BG483" s="109"/>
      <c r="BH483" s="109"/>
      <c r="BI483" s="109"/>
      <c r="BJ483" s="109"/>
      <c r="BK483" s="109"/>
      <c r="BL483" s="109"/>
      <c r="BM483" s="109"/>
      <c r="BN483" s="109"/>
    </row>
    <row r="484" spans="1:66" x14ac:dyDescent="0.2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09"/>
      <c r="AT484" s="109"/>
      <c r="AU484" s="109"/>
      <c r="AV484" s="109"/>
      <c r="AW484" s="109"/>
      <c r="AX484" s="109"/>
      <c r="AY484" s="109"/>
      <c r="AZ484" s="109"/>
      <c r="BA484" s="109"/>
      <c r="BB484" s="109"/>
      <c r="BC484" s="109"/>
      <c r="BD484" s="109"/>
      <c r="BE484" s="109"/>
      <c r="BF484" s="109"/>
      <c r="BG484" s="109"/>
      <c r="BH484" s="109"/>
      <c r="BI484" s="109"/>
      <c r="BJ484" s="109"/>
      <c r="BK484" s="109"/>
      <c r="BL484" s="109"/>
      <c r="BM484" s="109"/>
      <c r="BN484" s="109"/>
    </row>
    <row r="485" spans="1:66" x14ac:dyDescent="0.2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09"/>
      <c r="AT485" s="109"/>
      <c r="AU485" s="109"/>
      <c r="AV485" s="109"/>
      <c r="AW485" s="109"/>
      <c r="AX485" s="109"/>
      <c r="AY485" s="109"/>
      <c r="AZ485" s="109"/>
      <c r="BA485" s="109"/>
      <c r="BB485" s="109"/>
      <c r="BC485" s="109"/>
      <c r="BD485" s="109"/>
      <c r="BE485" s="109"/>
      <c r="BF485" s="109"/>
      <c r="BG485" s="109"/>
      <c r="BH485" s="109"/>
      <c r="BI485" s="109"/>
      <c r="BJ485" s="109"/>
      <c r="BK485" s="109"/>
      <c r="BL485" s="109"/>
      <c r="BM485" s="109"/>
      <c r="BN485" s="109"/>
    </row>
    <row r="486" spans="1:66" x14ac:dyDescent="0.2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09"/>
      <c r="AT486" s="109"/>
      <c r="AU486" s="109"/>
      <c r="AV486" s="109"/>
      <c r="AW486" s="109"/>
      <c r="AX486" s="109"/>
      <c r="AY486" s="109"/>
      <c r="AZ486" s="109"/>
      <c r="BA486" s="109"/>
      <c r="BB486" s="109"/>
      <c r="BC486" s="109"/>
      <c r="BD486" s="109"/>
      <c r="BE486" s="109"/>
      <c r="BF486" s="109"/>
      <c r="BG486" s="109"/>
      <c r="BH486" s="109"/>
      <c r="BI486" s="109"/>
      <c r="BJ486" s="109"/>
      <c r="BK486" s="109"/>
      <c r="BL486" s="109"/>
      <c r="BM486" s="109"/>
      <c r="BN486" s="109"/>
    </row>
    <row r="487" spans="1:66" x14ac:dyDescent="0.2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  <c r="AS487" s="109"/>
      <c r="AT487" s="109"/>
      <c r="AU487" s="109"/>
      <c r="AV487" s="109"/>
      <c r="AW487" s="109"/>
      <c r="AX487" s="109"/>
      <c r="AY487" s="109"/>
      <c r="AZ487" s="109"/>
      <c r="BA487" s="109"/>
      <c r="BB487" s="109"/>
      <c r="BC487" s="109"/>
      <c r="BD487" s="109"/>
      <c r="BE487" s="109"/>
      <c r="BF487" s="109"/>
      <c r="BG487" s="109"/>
      <c r="BH487" s="109"/>
      <c r="BI487" s="109"/>
      <c r="BJ487" s="109"/>
      <c r="BK487" s="109"/>
      <c r="BL487" s="109"/>
      <c r="BM487" s="109"/>
      <c r="BN487" s="109"/>
    </row>
    <row r="488" spans="1:66" x14ac:dyDescent="0.2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  <c r="AS488" s="109"/>
      <c r="AT488" s="109"/>
      <c r="AU488" s="109"/>
      <c r="AV488" s="109"/>
      <c r="AW488" s="109"/>
      <c r="AX488" s="109"/>
      <c r="AY488" s="109"/>
      <c r="AZ488" s="109"/>
      <c r="BA488" s="109"/>
      <c r="BB488" s="109"/>
      <c r="BC488" s="109"/>
      <c r="BD488" s="109"/>
      <c r="BE488" s="109"/>
      <c r="BF488" s="109"/>
      <c r="BG488" s="109"/>
      <c r="BH488" s="109"/>
      <c r="BI488" s="109"/>
      <c r="BJ488" s="109"/>
      <c r="BK488" s="109"/>
      <c r="BL488" s="109"/>
      <c r="BM488" s="109"/>
      <c r="BN488" s="109"/>
    </row>
    <row r="489" spans="1:66" x14ac:dyDescent="0.2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  <c r="AS489" s="109"/>
      <c r="AT489" s="109"/>
      <c r="AU489" s="109"/>
      <c r="AV489" s="109"/>
      <c r="AW489" s="109"/>
      <c r="AX489" s="109"/>
      <c r="AY489" s="109"/>
      <c r="AZ489" s="109"/>
      <c r="BA489" s="109"/>
      <c r="BB489" s="109"/>
      <c r="BC489" s="109"/>
      <c r="BD489" s="109"/>
      <c r="BE489" s="109"/>
      <c r="BF489" s="109"/>
      <c r="BG489" s="109"/>
      <c r="BH489" s="109"/>
      <c r="BI489" s="109"/>
      <c r="BJ489" s="109"/>
      <c r="BK489" s="109"/>
      <c r="BL489" s="109"/>
      <c r="BM489" s="109"/>
      <c r="BN489" s="109"/>
    </row>
    <row r="490" spans="1:66" x14ac:dyDescent="0.2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  <c r="AS490" s="109"/>
      <c r="AT490" s="109"/>
      <c r="AU490" s="109"/>
      <c r="AV490" s="109"/>
      <c r="AW490" s="109"/>
      <c r="AX490" s="109"/>
      <c r="AY490" s="109"/>
      <c r="AZ490" s="109"/>
      <c r="BA490" s="109"/>
      <c r="BB490" s="109"/>
      <c r="BC490" s="109"/>
      <c r="BD490" s="109"/>
      <c r="BE490" s="109"/>
      <c r="BF490" s="109"/>
      <c r="BG490" s="109"/>
      <c r="BH490" s="109"/>
      <c r="BI490" s="109"/>
      <c r="BJ490" s="109"/>
      <c r="BK490" s="109"/>
      <c r="BL490" s="109"/>
      <c r="BM490" s="109"/>
      <c r="BN490" s="109"/>
    </row>
    <row r="491" spans="1:66" x14ac:dyDescent="0.2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  <c r="AS491" s="109"/>
      <c r="AT491" s="109"/>
      <c r="AU491" s="109"/>
      <c r="AV491" s="109"/>
      <c r="AW491" s="109"/>
      <c r="AX491" s="109"/>
      <c r="AY491" s="109"/>
      <c r="AZ491" s="109"/>
      <c r="BA491" s="109"/>
      <c r="BB491" s="109"/>
      <c r="BC491" s="109"/>
      <c r="BD491" s="109"/>
      <c r="BE491" s="109"/>
      <c r="BF491" s="109"/>
      <c r="BG491" s="109"/>
      <c r="BH491" s="109"/>
      <c r="BI491" s="109"/>
      <c r="BJ491" s="109"/>
      <c r="BK491" s="109"/>
      <c r="BL491" s="109"/>
      <c r="BM491" s="109"/>
      <c r="BN491" s="109"/>
    </row>
    <row r="492" spans="1:66" x14ac:dyDescent="0.2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  <c r="AS492" s="109"/>
      <c r="AT492" s="109"/>
      <c r="AU492" s="109"/>
      <c r="AV492" s="109"/>
      <c r="AW492" s="109"/>
      <c r="AX492" s="109"/>
      <c r="AY492" s="109"/>
      <c r="AZ492" s="109"/>
      <c r="BA492" s="109"/>
      <c r="BB492" s="109"/>
      <c r="BC492" s="109"/>
      <c r="BD492" s="109"/>
      <c r="BE492" s="109"/>
      <c r="BF492" s="109"/>
      <c r="BG492" s="109"/>
      <c r="BH492" s="109"/>
      <c r="BI492" s="109"/>
      <c r="BJ492" s="109"/>
      <c r="BK492" s="109"/>
      <c r="BL492" s="109"/>
      <c r="BM492" s="109"/>
      <c r="BN492" s="109"/>
    </row>
    <row r="493" spans="1:66" x14ac:dyDescent="0.2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  <c r="AS493" s="109"/>
      <c r="AT493" s="109"/>
      <c r="AU493" s="109"/>
      <c r="AV493" s="109"/>
      <c r="AW493" s="109"/>
      <c r="AX493" s="109"/>
      <c r="AY493" s="109"/>
      <c r="AZ493" s="109"/>
      <c r="BA493" s="109"/>
      <c r="BB493" s="109"/>
      <c r="BC493" s="109"/>
      <c r="BD493" s="109"/>
      <c r="BE493" s="109"/>
      <c r="BF493" s="109"/>
      <c r="BG493" s="109"/>
      <c r="BH493" s="109"/>
      <c r="BI493" s="109"/>
      <c r="BJ493" s="109"/>
      <c r="BK493" s="109"/>
      <c r="BL493" s="109"/>
      <c r="BM493" s="109"/>
      <c r="BN493" s="109"/>
    </row>
    <row r="494" spans="1:66" x14ac:dyDescent="0.2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  <c r="AS494" s="109"/>
      <c r="AT494" s="109"/>
      <c r="AU494" s="109"/>
      <c r="AV494" s="109"/>
      <c r="AW494" s="109"/>
      <c r="AX494" s="109"/>
      <c r="AY494" s="109"/>
      <c r="AZ494" s="109"/>
      <c r="BA494" s="109"/>
      <c r="BB494" s="109"/>
      <c r="BC494" s="109"/>
      <c r="BD494" s="109"/>
      <c r="BE494" s="109"/>
      <c r="BF494" s="109"/>
      <c r="BG494" s="109"/>
      <c r="BH494" s="109"/>
      <c r="BI494" s="109"/>
      <c r="BJ494" s="109"/>
      <c r="BK494" s="109"/>
      <c r="BL494" s="109"/>
      <c r="BM494" s="109"/>
      <c r="BN494" s="109"/>
    </row>
    <row r="495" spans="1:66" x14ac:dyDescent="0.2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  <c r="AS495" s="109"/>
      <c r="AT495" s="109"/>
      <c r="AU495" s="109"/>
      <c r="AV495" s="109"/>
      <c r="AW495" s="109"/>
      <c r="AX495" s="109"/>
      <c r="AY495" s="109"/>
      <c r="AZ495" s="109"/>
      <c r="BA495" s="109"/>
      <c r="BB495" s="109"/>
      <c r="BC495" s="109"/>
      <c r="BD495" s="109"/>
      <c r="BE495" s="109"/>
      <c r="BF495" s="109"/>
      <c r="BG495" s="109"/>
      <c r="BH495" s="109"/>
      <c r="BI495" s="109"/>
      <c r="BJ495" s="109"/>
      <c r="BK495" s="109"/>
      <c r="BL495" s="109"/>
      <c r="BM495" s="109"/>
      <c r="BN495" s="109"/>
    </row>
    <row r="496" spans="1:66" x14ac:dyDescent="0.2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09"/>
      <c r="AT496" s="109"/>
      <c r="AU496" s="109"/>
      <c r="AV496" s="109"/>
      <c r="AW496" s="109"/>
      <c r="AX496" s="109"/>
      <c r="AY496" s="109"/>
      <c r="AZ496" s="109"/>
      <c r="BA496" s="109"/>
      <c r="BB496" s="109"/>
      <c r="BC496" s="109"/>
      <c r="BD496" s="109"/>
      <c r="BE496" s="109"/>
      <c r="BF496" s="109"/>
      <c r="BG496" s="109"/>
      <c r="BH496" s="109"/>
      <c r="BI496" s="109"/>
      <c r="BJ496" s="109"/>
      <c r="BK496" s="109"/>
      <c r="BL496" s="109"/>
      <c r="BM496" s="109"/>
      <c r="BN496" s="109"/>
    </row>
    <row r="497" spans="1:66" x14ac:dyDescent="0.2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09"/>
      <c r="AT497" s="109"/>
      <c r="AU497" s="109"/>
      <c r="AV497" s="109"/>
      <c r="AW497" s="109"/>
      <c r="AX497" s="109"/>
      <c r="AY497" s="109"/>
      <c r="AZ497" s="109"/>
      <c r="BA497" s="109"/>
      <c r="BB497" s="109"/>
      <c r="BC497" s="109"/>
      <c r="BD497" s="109"/>
      <c r="BE497" s="109"/>
      <c r="BF497" s="109"/>
      <c r="BG497" s="109"/>
      <c r="BH497" s="109"/>
      <c r="BI497" s="109"/>
      <c r="BJ497" s="109"/>
      <c r="BK497" s="109"/>
      <c r="BL497" s="109"/>
      <c r="BM497" s="109"/>
      <c r="BN497" s="109"/>
    </row>
    <row r="498" spans="1:66" x14ac:dyDescent="0.2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09"/>
      <c r="AT498" s="109"/>
      <c r="AU498" s="109"/>
      <c r="AV498" s="109"/>
      <c r="AW498" s="109"/>
      <c r="AX498" s="109"/>
      <c r="AY498" s="109"/>
      <c r="AZ498" s="109"/>
      <c r="BA498" s="109"/>
      <c r="BB498" s="109"/>
      <c r="BC498" s="109"/>
      <c r="BD498" s="109"/>
      <c r="BE498" s="109"/>
      <c r="BF498" s="109"/>
      <c r="BG498" s="109"/>
      <c r="BH498" s="109"/>
      <c r="BI498" s="109"/>
      <c r="BJ498" s="109"/>
      <c r="BK498" s="109"/>
      <c r="BL498" s="109"/>
      <c r="BM498" s="109"/>
      <c r="BN498" s="109"/>
    </row>
    <row r="499" spans="1:66" x14ac:dyDescent="0.2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09"/>
      <c r="AT499" s="109"/>
      <c r="AU499" s="109"/>
      <c r="AV499" s="109"/>
      <c r="AW499" s="109"/>
      <c r="AX499" s="109"/>
      <c r="AY499" s="109"/>
      <c r="AZ499" s="109"/>
      <c r="BA499" s="109"/>
      <c r="BB499" s="109"/>
      <c r="BC499" s="109"/>
      <c r="BD499" s="109"/>
      <c r="BE499" s="109"/>
      <c r="BF499" s="109"/>
      <c r="BG499" s="109"/>
      <c r="BH499" s="109"/>
      <c r="BI499" s="109"/>
      <c r="BJ499" s="109"/>
      <c r="BK499" s="109"/>
      <c r="BL499" s="109"/>
      <c r="BM499" s="109"/>
      <c r="BN499" s="109"/>
    </row>
    <row r="500" spans="1:66" x14ac:dyDescent="0.2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09"/>
      <c r="AT500" s="109"/>
      <c r="AU500" s="109"/>
      <c r="AV500" s="109"/>
      <c r="AW500" s="109"/>
      <c r="AX500" s="109"/>
      <c r="AY500" s="109"/>
      <c r="AZ500" s="109"/>
      <c r="BA500" s="109"/>
      <c r="BB500" s="109"/>
      <c r="BC500" s="109"/>
      <c r="BD500" s="109"/>
      <c r="BE500" s="109"/>
      <c r="BF500" s="109"/>
      <c r="BG500" s="109"/>
      <c r="BH500" s="109"/>
      <c r="BI500" s="109"/>
      <c r="BJ500" s="109"/>
      <c r="BK500" s="109"/>
      <c r="BL500" s="109"/>
      <c r="BM500" s="109"/>
      <c r="BN500" s="109"/>
    </row>
    <row r="501" spans="1:66" x14ac:dyDescent="0.2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  <c r="AS501" s="109"/>
      <c r="AT501" s="109"/>
      <c r="AU501" s="109"/>
      <c r="AV501" s="109"/>
      <c r="AW501" s="109"/>
      <c r="AX501" s="109"/>
      <c r="AY501" s="109"/>
      <c r="AZ501" s="109"/>
      <c r="BA501" s="109"/>
      <c r="BB501" s="109"/>
      <c r="BC501" s="109"/>
      <c r="BD501" s="109"/>
      <c r="BE501" s="109"/>
      <c r="BF501" s="109"/>
      <c r="BG501" s="109"/>
      <c r="BH501" s="109"/>
      <c r="BI501" s="109"/>
      <c r="BJ501" s="109"/>
      <c r="BK501" s="109"/>
      <c r="BL501" s="109"/>
      <c r="BM501" s="109"/>
      <c r="BN501" s="109"/>
    </row>
    <row r="502" spans="1:66" x14ac:dyDescent="0.2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  <c r="AS502" s="109"/>
      <c r="AT502" s="109"/>
      <c r="AU502" s="109"/>
      <c r="AV502" s="109"/>
      <c r="AW502" s="109"/>
      <c r="AX502" s="109"/>
      <c r="AY502" s="109"/>
      <c r="AZ502" s="109"/>
      <c r="BA502" s="109"/>
      <c r="BB502" s="109"/>
      <c r="BC502" s="109"/>
      <c r="BD502" s="109"/>
      <c r="BE502" s="109"/>
      <c r="BF502" s="109"/>
      <c r="BG502" s="109"/>
      <c r="BH502" s="109"/>
      <c r="BI502" s="109"/>
      <c r="BJ502" s="109"/>
      <c r="BK502" s="109"/>
      <c r="BL502" s="109"/>
      <c r="BM502" s="109"/>
      <c r="BN502" s="109"/>
    </row>
    <row r="503" spans="1:66" x14ac:dyDescent="0.2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  <c r="AS503" s="109"/>
      <c r="AT503" s="109"/>
      <c r="AU503" s="109"/>
      <c r="AV503" s="109"/>
      <c r="AW503" s="109"/>
      <c r="AX503" s="109"/>
      <c r="AY503" s="109"/>
      <c r="AZ503" s="109"/>
      <c r="BA503" s="109"/>
      <c r="BB503" s="109"/>
      <c r="BC503" s="109"/>
      <c r="BD503" s="109"/>
      <c r="BE503" s="109"/>
      <c r="BF503" s="109"/>
      <c r="BG503" s="109"/>
      <c r="BH503" s="109"/>
      <c r="BI503" s="109"/>
      <c r="BJ503" s="109"/>
      <c r="BK503" s="109"/>
      <c r="BL503" s="109"/>
      <c r="BM503" s="109"/>
      <c r="BN503" s="109"/>
    </row>
    <row r="504" spans="1:66" x14ac:dyDescent="0.2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  <c r="AS504" s="109"/>
      <c r="AT504" s="109"/>
      <c r="AU504" s="109"/>
      <c r="AV504" s="109"/>
      <c r="AW504" s="109"/>
      <c r="AX504" s="109"/>
      <c r="AY504" s="109"/>
      <c r="AZ504" s="109"/>
      <c r="BA504" s="109"/>
      <c r="BB504" s="109"/>
      <c r="BC504" s="109"/>
      <c r="BD504" s="109"/>
      <c r="BE504" s="109"/>
      <c r="BF504" s="109"/>
      <c r="BG504" s="109"/>
      <c r="BH504" s="109"/>
      <c r="BI504" s="109"/>
      <c r="BJ504" s="109"/>
      <c r="BK504" s="109"/>
      <c r="BL504" s="109"/>
      <c r="BM504" s="109"/>
      <c r="BN504" s="109"/>
    </row>
    <row r="505" spans="1:66" x14ac:dyDescent="0.2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  <c r="AS505" s="109"/>
      <c r="AT505" s="109"/>
      <c r="AU505" s="109"/>
      <c r="AV505" s="109"/>
      <c r="AW505" s="109"/>
      <c r="AX505" s="109"/>
      <c r="AY505" s="109"/>
      <c r="AZ505" s="109"/>
      <c r="BA505" s="109"/>
      <c r="BB505" s="109"/>
      <c r="BC505" s="109"/>
      <c r="BD505" s="109"/>
      <c r="BE505" s="109"/>
      <c r="BF505" s="109"/>
      <c r="BG505" s="109"/>
      <c r="BH505" s="109"/>
      <c r="BI505" s="109"/>
      <c r="BJ505" s="109"/>
      <c r="BK505" s="109"/>
      <c r="BL505" s="109"/>
      <c r="BM505" s="109"/>
      <c r="BN505" s="109"/>
    </row>
    <row r="506" spans="1:66" x14ac:dyDescent="0.2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  <c r="AS506" s="109"/>
      <c r="AT506" s="109"/>
      <c r="AU506" s="109"/>
      <c r="AV506" s="109"/>
      <c r="AW506" s="109"/>
      <c r="AX506" s="109"/>
      <c r="AY506" s="109"/>
      <c r="AZ506" s="109"/>
      <c r="BA506" s="109"/>
      <c r="BB506" s="109"/>
      <c r="BC506" s="109"/>
      <c r="BD506" s="109"/>
      <c r="BE506" s="109"/>
      <c r="BF506" s="109"/>
      <c r="BG506" s="109"/>
      <c r="BH506" s="109"/>
      <c r="BI506" s="109"/>
      <c r="BJ506" s="109"/>
      <c r="BK506" s="109"/>
      <c r="BL506" s="109"/>
      <c r="BM506" s="109"/>
      <c r="BN506" s="109"/>
    </row>
    <row r="507" spans="1:66" x14ac:dyDescent="0.2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  <c r="AS507" s="109"/>
      <c r="AT507" s="109"/>
      <c r="AU507" s="109"/>
      <c r="AV507" s="109"/>
      <c r="AW507" s="109"/>
      <c r="AX507" s="109"/>
      <c r="AY507" s="109"/>
      <c r="AZ507" s="109"/>
      <c r="BA507" s="109"/>
      <c r="BB507" s="109"/>
      <c r="BC507" s="109"/>
      <c r="BD507" s="109"/>
      <c r="BE507" s="109"/>
      <c r="BF507" s="109"/>
      <c r="BG507" s="109"/>
      <c r="BH507" s="109"/>
      <c r="BI507" s="109"/>
      <c r="BJ507" s="109"/>
      <c r="BK507" s="109"/>
      <c r="BL507" s="109"/>
      <c r="BM507" s="109"/>
      <c r="BN507" s="109"/>
    </row>
    <row r="508" spans="1:66" x14ac:dyDescent="0.2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9"/>
      <c r="AS508" s="109"/>
      <c r="AT508" s="109"/>
      <c r="AU508" s="109"/>
      <c r="AV508" s="109"/>
      <c r="AW508" s="109"/>
      <c r="AX508" s="109"/>
      <c r="AY508" s="109"/>
      <c r="AZ508" s="109"/>
      <c r="BA508" s="109"/>
      <c r="BB508" s="109"/>
      <c r="BC508" s="109"/>
      <c r="BD508" s="109"/>
      <c r="BE508" s="109"/>
      <c r="BF508" s="109"/>
      <c r="BG508" s="109"/>
      <c r="BH508" s="109"/>
      <c r="BI508" s="109"/>
      <c r="BJ508" s="109"/>
      <c r="BK508" s="109"/>
      <c r="BL508" s="109"/>
      <c r="BM508" s="109"/>
      <c r="BN508" s="109"/>
    </row>
    <row r="509" spans="1:66" x14ac:dyDescent="0.2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  <c r="AS509" s="109"/>
      <c r="AT509" s="109"/>
      <c r="AU509" s="109"/>
      <c r="AV509" s="109"/>
      <c r="AW509" s="109"/>
      <c r="AX509" s="109"/>
      <c r="AY509" s="109"/>
      <c r="AZ509" s="109"/>
      <c r="BA509" s="109"/>
      <c r="BB509" s="109"/>
      <c r="BC509" s="109"/>
      <c r="BD509" s="109"/>
      <c r="BE509" s="109"/>
      <c r="BF509" s="109"/>
      <c r="BG509" s="109"/>
      <c r="BH509" s="109"/>
      <c r="BI509" s="109"/>
      <c r="BJ509" s="109"/>
      <c r="BK509" s="109"/>
      <c r="BL509" s="109"/>
      <c r="BM509" s="109"/>
      <c r="BN509" s="109"/>
    </row>
    <row r="510" spans="1:66" x14ac:dyDescent="0.2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  <c r="AS510" s="109"/>
      <c r="AT510" s="109"/>
      <c r="AU510" s="109"/>
      <c r="AV510" s="109"/>
      <c r="AW510" s="109"/>
      <c r="AX510" s="109"/>
      <c r="AY510" s="109"/>
      <c r="AZ510" s="109"/>
      <c r="BA510" s="109"/>
      <c r="BB510" s="109"/>
      <c r="BC510" s="109"/>
      <c r="BD510" s="109"/>
      <c r="BE510" s="109"/>
      <c r="BF510" s="109"/>
      <c r="BG510" s="109"/>
      <c r="BH510" s="109"/>
      <c r="BI510" s="109"/>
      <c r="BJ510" s="109"/>
      <c r="BK510" s="109"/>
      <c r="BL510" s="109"/>
      <c r="BM510" s="109"/>
      <c r="BN510" s="109"/>
    </row>
    <row r="511" spans="1:66" x14ac:dyDescent="0.2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  <c r="AS511" s="109"/>
      <c r="AT511" s="109"/>
      <c r="AU511" s="109"/>
      <c r="AV511" s="109"/>
      <c r="AW511" s="109"/>
      <c r="AX511" s="109"/>
      <c r="AY511" s="109"/>
      <c r="AZ511" s="109"/>
      <c r="BA511" s="109"/>
      <c r="BB511" s="109"/>
      <c r="BC511" s="109"/>
      <c r="BD511" s="109"/>
      <c r="BE511" s="109"/>
      <c r="BF511" s="109"/>
      <c r="BG511" s="109"/>
      <c r="BH511" s="109"/>
      <c r="BI511" s="109"/>
      <c r="BJ511" s="109"/>
      <c r="BK511" s="109"/>
      <c r="BL511" s="109"/>
      <c r="BM511" s="109"/>
      <c r="BN511" s="109"/>
    </row>
    <row r="512" spans="1:66" x14ac:dyDescent="0.2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  <c r="AS512" s="109"/>
      <c r="AT512" s="109"/>
      <c r="AU512" s="109"/>
      <c r="AV512" s="109"/>
      <c r="AW512" s="109"/>
      <c r="AX512" s="109"/>
      <c r="AY512" s="109"/>
      <c r="AZ512" s="109"/>
      <c r="BA512" s="109"/>
      <c r="BB512" s="109"/>
      <c r="BC512" s="109"/>
      <c r="BD512" s="109"/>
      <c r="BE512" s="109"/>
      <c r="BF512" s="109"/>
      <c r="BG512" s="109"/>
      <c r="BH512" s="109"/>
      <c r="BI512" s="109"/>
      <c r="BJ512" s="109"/>
      <c r="BK512" s="109"/>
      <c r="BL512" s="109"/>
      <c r="BM512" s="109"/>
      <c r="BN512" s="109"/>
    </row>
    <row r="513" spans="1:66" x14ac:dyDescent="0.2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  <c r="AS513" s="109"/>
      <c r="AT513" s="109"/>
      <c r="AU513" s="109"/>
      <c r="AV513" s="109"/>
      <c r="AW513" s="109"/>
      <c r="AX513" s="109"/>
      <c r="AY513" s="109"/>
      <c r="AZ513" s="109"/>
      <c r="BA513" s="109"/>
      <c r="BB513" s="109"/>
      <c r="BC513" s="109"/>
      <c r="BD513" s="109"/>
      <c r="BE513" s="109"/>
      <c r="BF513" s="109"/>
      <c r="BG513" s="109"/>
      <c r="BH513" s="109"/>
      <c r="BI513" s="109"/>
      <c r="BJ513" s="109"/>
      <c r="BK513" s="109"/>
      <c r="BL513" s="109"/>
      <c r="BM513" s="109"/>
      <c r="BN513" s="109"/>
    </row>
    <row r="514" spans="1:66" x14ac:dyDescent="0.2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9"/>
      <c r="AS514" s="109"/>
      <c r="AT514" s="109"/>
      <c r="AU514" s="109"/>
      <c r="AV514" s="109"/>
      <c r="AW514" s="109"/>
      <c r="AX514" s="109"/>
      <c r="AY514" s="109"/>
      <c r="AZ514" s="109"/>
      <c r="BA514" s="109"/>
      <c r="BB514" s="109"/>
      <c r="BC514" s="109"/>
      <c r="BD514" s="109"/>
      <c r="BE514" s="109"/>
      <c r="BF514" s="109"/>
      <c r="BG514" s="109"/>
      <c r="BH514" s="109"/>
      <c r="BI514" s="109"/>
      <c r="BJ514" s="109"/>
      <c r="BK514" s="109"/>
      <c r="BL514" s="109"/>
      <c r="BM514" s="109"/>
      <c r="BN514" s="109"/>
    </row>
    <row r="515" spans="1:66" x14ac:dyDescent="0.2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  <c r="AS515" s="109"/>
      <c r="AT515" s="109"/>
      <c r="AU515" s="109"/>
      <c r="AV515" s="109"/>
      <c r="AW515" s="109"/>
      <c r="AX515" s="109"/>
      <c r="AY515" s="109"/>
      <c r="AZ515" s="109"/>
      <c r="BA515" s="109"/>
      <c r="BB515" s="109"/>
      <c r="BC515" s="109"/>
      <c r="BD515" s="109"/>
      <c r="BE515" s="109"/>
      <c r="BF515" s="109"/>
      <c r="BG515" s="109"/>
      <c r="BH515" s="109"/>
      <c r="BI515" s="109"/>
      <c r="BJ515" s="109"/>
      <c r="BK515" s="109"/>
      <c r="BL515" s="109"/>
      <c r="BM515" s="109"/>
      <c r="BN515" s="109"/>
    </row>
    <row r="516" spans="1:66" x14ac:dyDescent="0.2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  <c r="AS516" s="109"/>
      <c r="AT516" s="109"/>
      <c r="AU516" s="109"/>
      <c r="AV516" s="109"/>
      <c r="AW516" s="109"/>
      <c r="AX516" s="109"/>
      <c r="AY516" s="109"/>
      <c r="AZ516" s="109"/>
      <c r="BA516" s="109"/>
      <c r="BB516" s="109"/>
      <c r="BC516" s="109"/>
      <c r="BD516" s="109"/>
      <c r="BE516" s="109"/>
      <c r="BF516" s="109"/>
      <c r="BG516" s="109"/>
      <c r="BH516" s="109"/>
      <c r="BI516" s="109"/>
      <c r="BJ516" s="109"/>
      <c r="BK516" s="109"/>
      <c r="BL516" s="109"/>
      <c r="BM516" s="109"/>
      <c r="BN516" s="109"/>
    </row>
    <row r="517" spans="1:66" x14ac:dyDescent="0.2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  <c r="AS517" s="109"/>
      <c r="AT517" s="109"/>
      <c r="AU517" s="109"/>
      <c r="AV517" s="109"/>
      <c r="AW517" s="109"/>
      <c r="AX517" s="109"/>
      <c r="AY517" s="109"/>
      <c r="AZ517" s="109"/>
      <c r="BA517" s="109"/>
      <c r="BB517" s="109"/>
      <c r="BC517" s="109"/>
      <c r="BD517" s="109"/>
      <c r="BE517" s="109"/>
      <c r="BF517" s="109"/>
      <c r="BG517" s="109"/>
      <c r="BH517" s="109"/>
      <c r="BI517" s="109"/>
      <c r="BJ517" s="109"/>
      <c r="BK517" s="109"/>
      <c r="BL517" s="109"/>
      <c r="BM517" s="109"/>
      <c r="BN517" s="109"/>
    </row>
    <row r="518" spans="1:66" x14ac:dyDescent="0.2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  <c r="AS518" s="109"/>
      <c r="AT518" s="109"/>
      <c r="AU518" s="109"/>
      <c r="AV518" s="109"/>
      <c r="AW518" s="109"/>
      <c r="AX518" s="109"/>
      <c r="AY518" s="109"/>
      <c r="AZ518" s="109"/>
      <c r="BA518" s="109"/>
      <c r="BB518" s="109"/>
      <c r="BC518" s="109"/>
      <c r="BD518" s="109"/>
      <c r="BE518" s="109"/>
      <c r="BF518" s="109"/>
      <c r="BG518" s="109"/>
      <c r="BH518" s="109"/>
      <c r="BI518" s="109"/>
      <c r="BJ518" s="109"/>
      <c r="BK518" s="109"/>
      <c r="BL518" s="109"/>
      <c r="BM518" s="109"/>
      <c r="BN518" s="109"/>
    </row>
    <row r="519" spans="1:66" x14ac:dyDescent="0.2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  <c r="AS519" s="109"/>
      <c r="AT519" s="109"/>
      <c r="AU519" s="109"/>
      <c r="AV519" s="109"/>
      <c r="AW519" s="109"/>
      <c r="AX519" s="109"/>
      <c r="AY519" s="109"/>
      <c r="AZ519" s="109"/>
      <c r="BA519" s="109"/>
      <c r="BB519" s="109"/>
      <c r="BC519" s="109"/>
      <c r="BD519" s="109"/>
      <c r="BE519" s="109"/>
      <c r="BF519" s="109"/>
      <c r="BG519" s="109"/>
      <c r="BH519" s="109"/>
      <c r="BI519" s="109"/>
      <c r="BJ519" s="109"/>
      <c r="BK519" s="109"/>
      <c r="BL519" s="109"/>
      <c r="BM519" s="109"/>
      <c r="BN519" s="109"/>
    </row>
    <row r="520" spans="1:66" x14ac:dyDescent="0.2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  <c r="AS520" s="109"/>
      <c r="AT520" s="109"/>
      <c r="AU520" s="109"/>
      <c r="AV520" s="109"/>
      <c r="AW520" s="109"/>
      <c r="AX520" s="109"/>
      <c r="AY520" s="109"/>
      <c r="AZ520" s="109"/>
      <c r="BA520" s="109"/>
      <c r="BB520" s="109"/>
      <c r="BC520" s="109"/>
      <c r="BD520" s="109"/>
      <c r="BE520" s="109"/>
      <c r="BF520" s="109"/>
      <c r="BG520" s="109"/>
      <c r="BH520" s="109"/>
      <c r="BI520" s="109"/>
      <c r="BJ520" s="109"/>
      <c r="BK520" s="109"/>
      <c r="BL520" s="109"/>
      <c r="BM520" s="109"/>
      <c r="BN520" s="109"/>
    </row>
    <row r="521" spans="1:66" x14ac:dyDescent="0.2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  <c r="AS521" s="109"/>
      <c r="AT521" s="109"/>
      <c r="AU521" s="109"/>
      <c r="AV521" s="109"/>
      <c r="AW521" s="109"/>
      <c r="AX521" s="109"/>
      <c r="AY521" s="109"/>
      <c r="AZ521" s="109"/>
      <c r="BA521" s="109"/>
      <c r="BB521" s="109"/>
      <c r="BC521" s="109"/>
      <c r="BD521" s="109"/>
      <c r="BE521" s="109"/>
      <c r="BF521" s="109"/>
      <c r="BG521" s="109"/>
      <c r="BH521" s="109"/>
      <c r="BI521" s="109"/>
      <c r="BJ521" s="109"/>
      <c r="BK521" s="109"/>
      <c r="BL521" s="109"/>
      <c r="BM521" s="109"/>
      <c r="BN521" s="109"/>
    </row>
    <row r="522" spans="1:66" x14ac:dyDescent="0.2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  <c r="AS522" s="109"/>
      <c r="AT522" s="109"/>
      <c r="AU522" s="109"/>
      <c r="AV522" s="109"/>
      <c r="AW522" s="109"/>
      <c r="AX522" s="109"/>
      <c r="AY522" s="109"/>
      <c r="AZ522" s="109"/>
      <c r="BA522" s="109"/>
      <c r="BB522" s="109"/>
      <c r="BC522" s="109"/>
      <c r="BD522" s="109"/>
      <c r="BE522" s="109"/>
      <c r="BF522" s="109"/>
      <c r="BG522" s="109"/>
      <c r="BH522" s="109"/>
      <c r="BI522" s="109"/>
      <c r="BJ522" s="109"/>
      <c r="BK522" s="109"/>
      <c r="BL522" s="109"/>
      <c r="BM522" s="109"/>
      <c r="BN522" s="109"/>
    </row>
    <row r="523" spans="1:66" x14ac:dyDescent="0.2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  <c r="AS523" s="109"/>
      <c r="AT523" s="109"/>
      <c r="AU523" s="109"/>
      <c r="AV523" s="109"/>
      <c r="AW523" s="109"/>
      <c r="AX523" s="109"/>
      <c r="AY523" s="109"/>
      <c r="AZ523" s="109"/>
      <c r="BA523" s="109"/>
      <c r="BB523" s="109"/>
      <c r="BC523" s="109"/>
      <c r="BD523" s="109"/>
      <c r="BE523" s="109"/>
      <c r="BF523" s="109"/>
      <c r="BG523" s="109"/>
      <c r="BH523" s="109"/>
      <c r="BI523" s="109"/>
      <c r="BJ523" s="109"/>
      <c r="BK523" s="109"/>
      <c r="BL523" s="109"/>
      <c r="BM523" s="109"/>
      <c r="BN523" s="109"/>
    </row>
    <row r="524" spans="1:66" x14ac:dyDescent="0.2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  <c r="AS524" s="109"/>
      <c r="AT524" s="109"/>
      <c r="AU524" s="109"/>
      <c r="AV524" s="109"/>
      <c r="AW524" s="109"/>
      <c r="AX524" s="109"/>
      <c r="AY524" s="109"/>
      <c r="AZ524" s="109"/>
      <c r="BA524" s="109"/>
      <c r="BB524" s="109"/>
      <c r="BC524" s="109"/>
      <c r="BD524" s="109"/>
      <c r="BE524" s="109"/>
      <c r="BF524" s="109"/>
      <c r="BG524" s="109"/>
      <c r="BH524" s="109"/>
      <c r="BI524" s="109"/>
      <c r="BJ524" s="109"/>
      <c r="BK524" s="109"/>
      <c r="BL524" s="109"/>
      <c r="BM524" s="109"/>
      <c r="BN524" s="109"/>
    </row>
    <row r="525" spans="1:66" x14ac:dyDescent="0.2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  <c r="AS525" s="109"/>
      <c r="AT525" s="109"/>
      <c r="AU525" s="109"/>
      <c r="AV525" s="109"/>
      <c r="AW525" s="109"/>
      <c r="AX525" s="109"/>
      <c r="AY525" s="109"/>
      <c r="AZ525" s="109"/>
      <c r="BA525" s="109"/>
      <c r="BB525" s="109"/>
      <c r="BC525" s="109"/>
      <c r="BD525" s="109"/>
      <c r="BE525" s="109"/>
      <c r="BF525" s="109"/>
      <c r="BG525" s="109"/>
      <c r="BH525" s="109"/>
      <c r="BI525" s="109"/>
      <c r="BJ525" s="109"/>
      <c r="BK525" s="109"/>
      <c r="BL525" s="109"/>
      <c r="BM525" s="109"/>
      <c r="BN525" s="109"/>
    </row>
    <row r="526" spans="1:66" x14ac:dyDescent="0.2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  <c r="AS526" s="109"/>
      <c r="AT526" s="109"/>
      <c r="AU526" s="109"/>
      <c r="AV526" s="109"/>
      <c r="AW526" s="109"/>
      <c r="AX526" s="109"/>
      <c r="AY526" s="109"/>
      <c r="AZ526" s="109"/>
      <c r="BA526" s="109"/>
      <c r="BB526" s="109"/>
      <c r="BC526" s="109"/>
      <c r="BD526" s="109"/>
      <c r="BE526" s="109"/>
      <c r="BF526" s="109"/>
      <c r="BG526" s="109"/>
      <c r="BH526" s="109"/>
      <c r="BI526" s="109"/>
      <c r="BJ526" s="109"/>
      <c r="BK526" s="109"/>
      <c r="BL526" s="109"/>
      <c r="BM526" s="109"/>
      <c r="BN526" s="109"/>
    </row>
    <row r="527" spans="1:66" x14ac:dyDescent="0.2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  <c r="AT527" s="109"/>
      <c r="AU527" s="109"/>
      <c r="AV527" s="109"/>
      <c r="AW527" s="109"/>
      <c r="AX527" s="109"/>
      <c r="AY527" s="109"/>
      <c r="AZ527" s="109"/>
      <c r="BA527" s="109"/>
      <c r="BB527" s="109"/>
      <c r="BC527" s="109"/>
      <c r="BD527" s="109"/>
      <c r="BE527" s="109"/>
      <c r="BF527" s="109"/>
      <c r="BG527" s="109"/>
      <c r="BH527" s="109"/>
      <c r="BI527" s="109"/>
      <c r="BJ527" s="109"/>
      <c r="BK527" s="109"/>
      <c r="BL527" s="109"/>
      <c r="BM527" s="109"/>
      <c r="BN527" s="109"/>
    </row>
    <row r="528" spans="1:66" x14ac:dyDescent="0.2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  <c r="AS528" s="109"/>
      <c r="AT528" s="109"/>
      <c r="AU528" s="109"/>
      <c r="AV528" s="109"/>
      <c r="AW528" s="109"/>
      <c r="AX528" s="109"/>
      <c r="AY528" s="109"/>
      <c r="AZ528" s="109"/>
      <c r="BA528" s="109"/>
      <c r="BB528" s="109"/>
      <c r="BC528" s="109"/>
      <c r="BD528" s="109"/>
      <c r="BE528" s="109"/>
      <c r="BF528" s="109"/>
      <c r="BG528" s="109"/>
      <c r="BH528" s="109"/>
      <c r="BI528" s="109"/>
      <c r="BJ528" s="109"/>
      <c r="BK528" s="109"/>
      <c r="BL528" s="109"/>
      <c r="BM528" s="109"/>
      <c r="BN528" s="109"/>
    </row>
    <row r="529" spans="1:66" x14ac:dyDescent="0.2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  <c r="AS529" s="109"/>
      <c r="AT529" s="109"/>
      <c r="AU529" s="109"/>
      <c r="AV529" s="109"/>
      <c r="AW529" s="109"/>
      <c r="AX529" s="109"/>
      <c r="AY529" s="109"/>
      <c r="AZ529" s="109"/>
      <c r="BA529" s="109"/>
      <c r="BB529" s="109"/>
      <c r="BC529" s="109"/>
      <c r="BD529" s="109"/>
      <c r="BE529" s="109"/>
      <c r="BF529" s="109"/>
      <c r="BG529" s="109"/>
      <c r="BH529" s="109"/>
      <c r="BI529" s="109"/>
      <c r="BJ529" s="109"/>
      <c r="BK529" s="109"/>
      <c r="BL529" s="109"/>
      <c r="BM529" s="109"/>
      <c r="BN529" s="109"/>
    </row>
    <row r="530" spans="1:66" x14ac:dyDescent="0.2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  <c r="AS530" s="109"/>
      <c r="AT530" s="109"/>
      <c r="AU530" s="109"/>
      <c r="AV530" s="109"/>
      <c r="AW530" s="109"/>
      <c r="AX530" s="109"/>
      <c r="AY530" s="109"/>
      <c r="AZ530" s="109"/>
      <c r="BA530" s="109"/>
      <c r="BB530" s="109"/>
      <c r="BC530" s="109"/>
      <c r="BD530" s="109"/>
      <c r="BE530" s="109"/>
      <c r="BF530" s="109"/>
      <c r="BG530" s="109"/>
      <c r="BH530" s="109"/>
      <c r="BI530" s="109"/>
      <c r="BJ530" s="109"/>
      <c r="BK530" s="109"/>
      <c r="BL530" s="109"/>
      <c r="BM530" s="109"/>
      <c r="BN530" s="109"/>
    </row>
    <row r="531" spans="1:66" x14ac:dyDescent="0.2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  <c r="AS531" s="109"/>
      <c r="AT531" s="109"/>
      <c r="AU531" s="109"/>
      <c r="AV531" s="109"/>
      <c r="AW531" s="109"/>
      <c r="AX531" s="109"/>
      <c r="AY531" s="109"/>
      <c r="AZ531" s="109"/>
      <c r="BA531" s="109"/>
      <c r="BB531" s="109"/>
      <c r="BC531" s="109"/>
      <c r="BD531" s="109"/>
      <c r="BE531" s="109"/>
      <c r="BF531" s="109"/>
      <c r="BG531" s="109"/>
      <c r="BH531" s="109"/>
      <c r="BI531" s="109"/>
      <c r="BJ531" s="109"/>
      <c r="BK531" s="109"/>
      <c r="BL531" s="109"/>
      <c r="BM531" s="109"/>
      <c r="BN531" s="109"/>
    </row>
    <row r="532" spans="1:66" x14ac:dyDescent="0.2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  <c r="AS532" s="109"/>
      <c r="AT532" s="109"/>
      <c r="AU532" s="109"/>
      <c r="AV532" s="109"/>
      <c r="AW532" s="109"/>
      <c r="AX532" s="109"/>
      <c r="AY532" s="109"/>
      <c r="AZ532" s="109"/>
      <c r="BA532" s="109"/>
      <c r="BB532" s="109"/>
      <c r="BC532" s="109"/>
      <c r="BD532" s="109"/>
      <c r="BE532" s="109"/>
      <c r="BF532" s="109"/>
      <c r="BG532" s="109"/>
      <c r="BH532" s="109"/>
      <c r="BI532" s="109"/>
      <c r="BJ532" s="109"/>
      <c r="BK532" s="109"/>
      <c r="BL532" s="109"/>
      <c r="BM532" s="109"/>
      <c r="BN532" s="109"/>
    </row>
    <row r="533" spans="1:66" x14ac:dyDescent="0.2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  <c r="AS533" s="109"/>
      <c r="AT533" s="109"/>
      <c r="AU533" s="109"/>
      <c r="AV533" s="109"/>
      <c r="AW533" s="109"/>
      <c r="AX533" s="109"/>
      <c r="AY533" s="109"/>
      <c r="AZ533" s="109"/>
      <c r="BA533" s="109"/>
      <c r="BB533" s="109"/>
      <c r="BC533" s="109"/>
      <c r="BD533" s="109"/>
      <c r="BE533" s="109"/>
      <c r="BF533" s="109"/>
      <c r="BG533" s="109"/>
      <c r="BH533" s="109"/>
      <c r="BI533" s="109"/>
      <c r="BJ533" s="109"/>
      <c r="BK533" s="109"/>
      <c r="BL533" s="109"/>
      <c r="BM533" s="109"/>
      <c r="BN533" s="109"/>
    </row>
    <row r="534" spans="1:66" x14ac:dyDescent="0.2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  <c r="AS534" s="109"/>
      <c r="AT534" s="109"/>
      <c r="AU534" s="109"/>
      <c r="AV534" s="109"/>
      <c r="AW534" s="109"/>
      <c r="AX534" s="109"/>
      <c r="AY534" s="109"/>
      <c r="AZ534" s="109"/>
      <c r="BA534" s="109"/>
      <c r="BB534" s="109"/>
      <c r="BC534" s="109"/>
      <c r="BD534" s="109"/>
      <c r="BE534" s="109"/>
      <c r="BF534" s="109"/>
      <c r="BG534" s="109"/>
      <c r="BH534" s="109"/>
      <c r="BI534" s="109"/>
      <c r="BJ534" s="109"/>
      <c r="BK534" s="109"/>
      <c r="BL534" s="109"/>
      <c r="BM534" s="109"/>
      <c r="BN534" s="109"/>
    </row>
    <row r="535" spans="1:66" x14ac:dyDescent="0.2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  <c r="AS535" s="109"/>
      <c r="AT535" s="109"/>
      <c r="AU535" s="109"/>
      <c r="AV535" s="109"/>
      <c r="AW535" s="109"/>
      <c r="AX535" s="109"/>
      <c r="AY535" s="109"/>
      <c r="AZ535" s="109"/>
      <c r="BA535" s="109"/>
      <c r="BB535" s="109"/>
      <c r="BC535" s="109"/>
      <c r="BD535" s="109"/>
      <c r="BE535" s="109"/>
      <c r="BF535" s="109"/>
      <c r="BG535" s="109"/>
      <c r="BH535" s="109"/>
      <c r="BI535" s="109"/>
      <c r="BJ535" s="109"/>
      <c r="BK535" s="109"/>
      <c r="BL535" s="109"/>
      <c r="BM535" s="109"/>
      <c r="BN535" s="109"/>
    </row>
    <row r="536" spans="1:66" x14ac:dyDescent="0.2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  <c r="AS536" s="109"/>
      <c r="AT536" s="109"/>
      <c r="AU536" s="109"/>
      <c r="AV536" s="109"/>
      <c r="AW536" s="109"/>
      <c r="AX536" s="109"/>
      <c r="AY536" s="109"/>
      <c r="AZ536" s="109"/>
      <c r="BA536" s="109"/>
      <c r="BB536" s="109"/>
      <c r="BC536" s="109"/>
      <c r="BD536" s="109"/>
      <c r="BE536" s="109"/>
      <c r="BF536" s="109"/>
      <c r="BG536" s="109"/>
      <c r="BH536" s="109"/>
      <c r="BI536" s="109"/>
      <c r="BJ536" s="109"/>
      <c r="BK536" s="109"/>
      <c r="BL536" s="109"/>
      <c r="BM536" s="109"/>
      <c r="BN536" s="109"/>
    </row>
    <row r="537" spans="1:66" x14ac:dyDescent="0.2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  <c r="AT537" s="109"/>
      <c r="AU537" s="109"/>
      <c r="AV537" s="109"/>
      <c r="AW537" s="109"/>
      <c r="AX537" s="109"/>
      <c r="AY537" s="109"/>
      <c r="AZ537" s="109"/>
      <c r="BA537" s="109"/>
      <c r="BB537" s="109"/>
      <c r="BC537" s="109"/>
      <c r="BD537" s="109"/>
      <c r="BE537" s="109"/>
      <c r="BF537" s="109"/>
      <c r="BG537" s="109"/>
      <c r="BH537" s="109"/>
      <c r="BI537" s="109"/>
      <c r="BJ537" s="109"/>
      <c r="BK537" s="109"/>
      <c r="BL537" s="109"/>
      <c r="BM537" s="109"/>
      <c r="BN537" s="109"/>
    </row>
    <row r="538" spans="1:66" x14ac:dyDescent="0.2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  <c r="AS538" s="109"/>
      <c r="AT538" s="109"/>
      <c r="AU538" s="109"/>
      <c r="AV538" s="109"/>
      <c r="AW538" s="109"/>
      <c r="AX538" s="109"/>
      <c r="AY538" s="109"/>
      <c r="AZ538" s="109"/>
      <c r="BA538" s="109"/>
      <c r="BB538" s="109"/>
      <c r="BC538" s="109"/>
      <c r="BD538" s="109"/>
      <c r="BE538" s="109"/>
      <c r="BF538" s="109"/>
      <c r="BG538" s="109"/>
      <c r="BH538" s="109"/>
      <c r="BI538" s="109"/>
      <c r="BJ538" s="109"/>
      <c r="BK538" s="109"/>
      <c r="BL538" s="109"/>
      <c r="BM538" s="109"/>
      <c r="BN538" s="109"/>
    </row>
    <row r="539" spans="1:66" x14ac:dyDescent="0.2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  <c r="AT539" s="109"/>
      <c r="AU539" s="109"/>
      <c r="AV539" s="109"/>
      <c r="AW539" s="109"/>
      <c r="AX539" s="109"/>
      <c r="AY539" s="109"/>
      <c r="AZ539" s="109"/>
      <c r="BA539" s="109"/>
      <c r="BB539" s="109"/>
      <c r="BC539" s="109"/>
      <c r="BD539" s="109"/>
      <c r="BE539" s="109"/>
      <c r="BF539" s="109"/>
      <c r="BG539" s="109"/>
      <c r="BH539" s="109"/>
      <c r="BI539" s="109"/>
      <c r="BJ539" s="109"/>
      <c r="BK539" s="109"/>
      <c r="BL539" s="109"/>
      <c r="BM539" s="109"/>
      <c r="BN539" s="109"/>
    </row>
    <row r="540" spans="1:66" x14ac:dyDescent="0.2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  <c r="AS540" s="109"/>
      <c r="AT540" s="109"/>
      <c r="AU540" s="109"/>
      <c r="AV540" s="109"/>
      <c r="AW540" s="109"/>
      <c r="AX540" s="109"/>
      <c r="AY540" s="109"/>
      <c r="AZ540" s="109"/>
      <c r="BA540" s="109"/>
      <c r="BB540" s="109"/>
      <c r="BC540" s="109"/>
      <c r="BD540" s="109"/>
      <c r="BE540" s="109"/>
      <c r="BF540" s="109"/>
      <c r="BG540" s="109"/>
      <c r="BH540" s="109"/>
      <c r="BI540" s="109"/>
      <c r="BJ540" s="109"/>
      <c r="BK540" s="109"/>
      <c r="BL540" s="109"/>
      <c r="BM540" s="109"/>
      <c r="BN540" s="109"/>
    </row>
    <row r="541" spans="1:66" x14ac:dyDescent="0.2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  <c r="AS541" s="109"/>
      <c r="AT541" s="109"/>
      <c r="AU541" s="109"/>
      <c r="AV541" s="109"/>
      <c r="AW541" s="109"/>
      <c r="AX541" s="109"/>
      <c r="AY541" s="109"/>
      <c r="AZ541" s="109"/>
      <c r="BA541" s="109"/>
      <c r="BB541" s="109"/>
      <c r="BC541" s="109"/>
      <c r="BD541" s="109"/>
      <c r="BE541" s="109"/>
      <c r="BF541" s="109"/>
      <c r="BG541" s="109"/>
      <c r="BH541" s="109"/>
      <c r="BI541" s="109"/>
      <c r="BJ541" s="109"/>
      <c r="BK541" s="109"/>
      <c r="BL541" s="109"/>
      <c r="BM541" s="109"/>
      <c r="BN541" s="109"/>
    </row>
    <row r="542" spans="1:66" x14ac:dyDescent="0.2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  <c r="AS542" s="109"/>
      <c r="AT542" s="109"/>
      <c r="AU542" s="109"/>
      <c r="AV542" s="109"/>
      <c r="AW542" s="109"/>
      <c r="AX542" s="109"/>
      <c r="AY542" s="109"/>
      <c r="AZ542" s="109"/>
      <c r="BA542" s="109"/>
      <c r="BB542" s="109"/>
      <c r="BC542" s="109"/>
      <c r="BD542" s="109"/>
      <c r="BE542" s="109"/>
      <c r="BF542" s="109"/>
      <c r="BG542" s="109"/>
      <c r="BH542" s="109"/>
      <c r="BI542" s="109"/>
      <c r="BJ542" s="109"/>
      <c r="BK542" s="109"/>
      <c r="BL542" s="109"/>
      <c r="BM542" s="109"/>
      <c r="BN542" s="109"/>
    </row>
    <row r="543" spans="1:66" x14ac:dyDescent="0.2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  <c r="AT543" s="109"/>
      <c r="AU543" s="109"/>
      <c r="AV543" s="109"/>
      <c r="AW543" s="109"/>
      <c r="AX543" s="109"/>
      <c r="AY543" s="109"/>
      <c r="AZ543" s="109"/>
      <c r="BA543" s="109"/>
      <c r="BB543" s="109"/>
      <c r="BC543" s="109"/>
      <c r="BD543" s="109"/>
      <c r="BE543" s="109"/>
      <c r="BF543" s="109"/>
      <c r="BG543" s="109"/>
      <c r="BH543" s="109"/>
      <c r="BI543" s="109"/>
      <c r="BJ543" s="109"/>
      <c r="BK543" s="109"/>
      <c r="BL543" s="109"/>
      <c r="BM543" s="109"/>
      <c r="BN543" s="109"/>
    </row>
    <row r="544" spans="1:66" x14ac:dyDescent="0.2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  <c r="AS544" s="109"/>
      <c r="AT544" s="109"/>
      <c r="AU544" s="109"/>
      <c r="AV544" s="109"/>
      <c r="AW544" s="109"/>
      <c r="AX544" s="109"/>
      <c r="AY544" s="109"/>
      <c r="AZ544" s="109"/>
      <c r="BA544" s="109"/>
      <c r="BB544" s="109"/>
      <c r="BC544" s="109"/>
      <c r="BD544" s="109"/>
      <c r="BE544" s="109"/>
      <c r="BF544" s="109"/>
      <c r="BG544" s="109"/>
      <c r="BH544" s="109"/>
      <c r="BI544" s="109"/>
      <c r="BJ544" s="109"/>
      <c r="BK544" s="109"/>
      <c r="BL544" s="109"/>
      <c r="BM544" s="109"/>
      <c r="BN544" s="109"/>
    </row>
    <row r="545" spans="1:66" x14ac:dyDescent="0.2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  <c r="AS545" s="109"/>
      <c r="AT545" s="109"/>
      <c r="AU545" s="109"/>
      <c r="AV545" s="109"/>
      <c r="AW545" s="109"/>
      <c r="AX545" s="109"/>
      <c r="AY545" s="109"/>
      <c r="AZ545" s="109"/>
      <c r="BA545" s="109"/>
      <c r="BB545" s="109"/>
      <c r="BC545" s="109"/>
      <c r="BD545" s="109"/>
      <c r="BE545" s="109"/>
      <c r="BF545" s="109"/>
      <c r="BG545" s="109"/>
      <c r="BH545" s="109"/>
      <c r="BI545" s="109"/>
      <c r="BJ545" s="109"/>
      <c r="BK545" s="109"/>
      <c r="BL545" s="109"/>
      <c r="BM545" s="109"/>
      <c r="BN545" s="109"/>
    </row>
    <row r="546" spans="1:66" x14ac:dyDescent="0.2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9"/>
      <c r="AS546" s="109"/>
      <c r="AT546" s="109"/>
      <c r="AU546" s="109"/>
      <c r="AV546" s="109"/>
      <c r="AW546" s="109"/>
      <c r="AX546" s="109"/>
      <c r="AY546" s="109"/>
      <c r="AZ546" s="109"/>
      <c r="BA546" s="109"/>
      <c r="BB546" s="109"/>
      <c r="BC546" s="109"/>
      <c r="BD546" s="109"/>
      <c r="BE546" s="109"/>
      <c r="BF546" s="109"/>
      <c r="BG546" s="109"/>
      <c r="BH546" s="109"/>
      <c r="BI546" s="109"/>
      <c r="BJ546" s="109"/>
      <c r="BK546" s="109"/>
      <c r="BL546" s="109"/>
      <c r="BM546" s="109"/>
      <c r="BN546" s="109"/>
    </row>
    <row r="547" spans="1:66" x14ac:dyDescent="0.2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  <c r="AS547" s="109"/>
      <c r="AT547" s="109"/>
      <c r="AU547" s="109"/>
      <c r="AV547" s="109"/>
      <c r="AW547" s="109"/>
      <c r="AX547" s="109"/>
      <c r="AY547" s="109"/>
      <c r="AZ547" s="109"/>
      <c r="BA547" s="109"/>
      <c r="BB547" s="109"/>
      <c r="BC547" s="109"/>
      <c r="BD547" s="109"/>
      <c r="BE547" s="109"/>
      <c r="BF547" s="109"/>
      <c r="BG547" s="109"/>
      <c r="BH547" s="109"/>
      <c r="BI547" s="109"/>
      <c r="BJ547" s="109"/>
      <c r="BK547" s="109"/>
      <c r="BL547" s="109"/>
      <c r="BM547" s="109"/>
      <c r="BN547" s="109"/>
    </row>
    <row r="548" spans="1:66" x14ac:dyDescent="0.2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  <c r="AS548" s="109"/>
      <c r="AT548" s="109"/>
      <c r="AU548" s="109"/>
      <c r="AV548" s="109"/>
      <c r="AW548" s="109"/>
      <c r="AX548" s="109"/>
      <c r="AY548" s="109"/>
      <c r="AZ548" s="109"/>
      <c r="BA548" s="109"/>
      <c r="BB548" s="109"/>
      <c r="BC548" s="109"/>
      <c r="BD548" s="109"/>
      <c r="BE548" s="109"/>
      <c r="BF548" s="109"/>
      <c r="BG548" s="109"/>
      <c r="BH548" s="109"/>
      <c r="BI548" s="109"/>
      <c r="BJ548" s="109"/>
      <c r="BK548" s="109"/>
      <c r="BL548" s="109"/>
      <c r="BM548" s="109"/>
      <c r="BN548" s="109"/>
    </row>
    <row r="549" spans="1:66" x14ac:dyDescent="0.2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  <c r="AS549" s="109"/>
      <c r="AT549" s="109"/>
      <c r="AU549" s="109"/>
      <c r="AV549" s="109"/>
      <c r="AW549" s="109"/>
      <c r="AX549" s="109"/>
      <c r="AY549" s="109"/>
      <c r="AZ549" s="109"/>
      <c r="BA549" s="109"/>
      <c r="BB549" s="109"/>
      <c r="BC549" s="109"/>
      <c r="BD549" s="109"/>
      <c r="BE549" s="109"/>
      <c r="BF549" s="109"/>
      <c r="BG549" s="109"/>
      <c r="BH549" s="109"/>
      <c r="BI549" s="109"/>
      <c r="BJ549" s="109"/>
      <c r="BK549" s="109"/>
      <c r="BL549" s="109"/>
      <c r="BM549" s="109"/>
      <c r="BN549" s="109"/>
    </row>
    <row r="550" spans="1:66" x14ac:dyDescent="0.2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  <c r="AS550" s="109"/>
      <c r="AT550" s="109"/>
      <c r="AU550" s="109"/>
      <c r="AV550" s="109"/>
      <c r="AW550" s="109"/>
      <c r="AX550" s="109"/>
      <c r="AY550" s="109"/>
      <c r="AZ550" s="109"/>
      <c r="BA550" s="109"/>
      <c r="BB550" s="109"/>
      <c r="BC550" s="109"/>
      <c r="BD550" s="109"/>
      <c r="BE550" s="109"/>
      <c r="BF550" s="109"/>
      <c r="BG550" s="109"/>
      <c r="BH550" s="109"/>
      <c r="BI550" s="109"/>
      <c r="BJ550" s="109"/>
      <c r="BK550" s="109"/>
      <c r="BL550" s="109"/>
      <c r="BM550" s="109"/>
      <c r="BN550" s="109"/>
    </row>
    <row r="551" spans="1:66" x14ac:dyDescent="0.2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  <c r="AS551" s="109"/>
      <c r="AT551" s="109"/>
      <c r="AU551" s="109"/>
      <c r="AV551" s="109"/>
      <c r="AW551" s="109"/>
      <c r="AX551" s="109"/>
      <c r="AY551" s="109"/>
      <c r="AZ551" s="109"/>
      <c r="BA551" s="109"/>
      <c r="BB551" s="109"/>
      <c r="BC551" s="109"/>
      <c r="BD551" s="109"/>
      <c r="BE551" s="109"/>
      <c r="BF551" s="109"/>
      <c r="BG551" s="109"/>
      <c r="BH551" s="109"/>
      <c r="BI551" s="109"/>
      <c r="BJ551" s="109"/>
      <c r="BK551" s="109"/>
      <c r="BL551" s="109"/>
      <c r="BM551" s="109"/>
      <c r="BN551" s="109"/>
    </row>
    <row r="552" spans="1:66" x14ac:dyDescent="0.2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9"/>
      <c r="AS552" s="109"/>
      <c r="AT552" s="109"/>
      <c r="AU552" s="109"/>
      <c r="AV552" s="109"/>
      <c r="AW552" s="109"/>
      <c r="AX552" s="109"/>
      <c r="AY552" s="109"/>
      <c r="AZ552" s="109"/>
      <c r="BA552" s="109"/>
      <c r="BB552" s="109"/>
      <c r="BC552" s="109"/>
      <c r="BD552" s="109"/>
      <c r="BE552" s="109"/>
      <c r="BF552" s="109"/>
      <c r="BG552" s="109"/>
      <c r="BH552" s="109"/>
      <c r="BI552" s="109"/>
      <c r="BJ552" s="109"/>
      <c r="BK552" s="109"/>
      <c r="BL552" s="109"/>
      <c r="BM552" s="109"/>
      <c r="BN552" s="109"/>
    </row>
    <row r="553" spans="1:66" x14ac:dyDescent="0.2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  <c r="AS553" s="109"/>
      <c r="AT553" s="109"/>
      <c r="AU553" s="109"/>
      <c r="AV553" s="109"/>
      <c r="AW553" s="109"/>
      <c r="AX553" s="109"/>
      <c r="AY553" s="109"/>
      <c r="AZ553" s="109"/>
      <c r="BA553" s="109"/>
      <c r="BB553" s="109"/>
      <c r="BC553" s="109"/>
      <c r="BD553" s="109"/>
      <c r="BE553" s="109"/>
      <c r="BF553" s="109"/>
      <c r="BG553" s="109"/>
      <c r="BH553" s="109"/>
      <c r="BI553" s="109"/>
      <c r="BJ553" s="109"/>
      <c r="BK553" s="109"/>
      <c r="BL553" s="109"/>
      <c r="BM553" s="109"/>
      <c r="BN553" s="109"/>
    </row>
    <row r="554" spans="1:66" x14ac:dyDescent="0.2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  <c r="AS554" s="109"/>
      <c r="AT554" s="109"/>
      <c r="AU554" s="109"/>
      <c r="AV554" s="109"/>
      <c r="AW554" s="109"/>
      <c r="AX554" s="109"/>
      <c r="AY554" s="109"/>
      <c r="AZ554" s="109"/>
      <c r="BA554" s="109"/>
      <c r="BB554" s="109"/>
      <c r="BC554" s="109"/>
      <c r="BD554" s="109"/>
      <c r="BE554" s="109"/>
      <c r="BF554" s="109"/>
      <c r="BG554" s="109"/>
      <c r="BH554" s="109"/>
      <c r="BI554" s="109"/>
      <c r="BJ554" s="109"/>
      <c r="BK554" s="109"/>
      <c r="BL554" s="109"/>
      <c r="BM554" s="109"/>
      <c r="BN554" s="109"/>
    </row>
    <row r="555" spans="1:66" x14ac:dyDescent="0.2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  <c r="AS555" s="109"/>
      <c r="AT555" s="109"/>
      <c r="AU555" s="109"/>
      <c r="AV555" s="109"/>
      <c r="AW555" s="109"/>
      <c r="AX555" s="109"/>
      <c r="AY555" s="109"/>
      <c r="AZ555" s="109"/>
      <c r="BA555" s="109"/>
      <c r="BB555" s="109"/>
      <c r="BC555" s="109"/>
      <c r="BD555" s="109"/>
      <c r="BE555" s="109"/>
      <c r="BF555" s="109"/>
      <c r="BG555" s="109"/>
      <c r="BH555" s="109"/>
      <c r="BI555" s="109"/>
      <c r="BJ555" s="109"/>
      <c r="BK555" s="109"/>
      <c r="BL555" s="109"/>
      <c r="BM555" s="109"/>
      <c r="BN555" s="109"/>
    </row>
    <row r="556" spans="1:66" x14ac:dyDescent="0.2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  <c r="AS556" s="109"/>
      <c r="AT556" s="109"/>
      <c r="AU556" s="109"/>
      <c r="AV556" s="109"/>
      <c r="AW556" s="109"/>
      <c r="AX556" s="109"/>
      <c r="AY556" s="109"/>
      <c r="AZ556" s="109"/>
      <c r="BA556" s="109"/>
      <c r="BB556" s="109"/>
      <c r="BC556" s="109"/>
      <c r="BD556" s="109"/>
      <c r="BE556" s="109"/>
      <c r="BF556" s="109"/>
      <c r="BG556" s="109"/>
      <c r="BH556" s="109"/>
      <c r="BI556" s="109"/>
      <c r="BJ556" s="109"/>
      <c r="BK556" s="109"/>
      <c r="BL556" s="109"/>
      <c r="BM556" s="109"/>
      <c r="BN556" s="109"/>
    </row>
    <row r="557" spans="1:66" x14ac:dyDescent="0.2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  <c r="AS557" s="109"/>
      <c r="AT557" s="109"/>
      <c r="AU557" s="109"/>
      <c r="AV557" s="109"/>
      <c r="AW557" s="109"/>
      <c r="AX557" s="109"/>
      <c r="AY557" s="109"/>
      <c r="AZ557" s="109"/>
      <c r="BA557" s="109"/>
      <c r="BB557" s="109"/>
      <c r="BC557" s="109"/>
      <c r="BD557" s="109"/>
      <c r="BE557" s="109"/>
      <c r="BF557" s="109"/>
      <c r="BG557" s="109"/>
      <c r="BH557" s="109"/>
      <c r="BI557" s="109"/>
      <c r="BJ557" s="109"/>
      <c r="BK557" s="109"/>
      <c r="BL557" s="109"/>
      <c r="BM557" s="109"/>
      <c r="BN557" s="109"/>
    </row>
    <row r="558" spans="1:66" x14ac:dyDescent="0.2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  <c r="AS558" s="109"/>
      <c r="AT558" s="109"/>
      <c r="AU558" s="109"/>
      <c r="AV558" s="109"/>
      <c r="AW558" s="109"/>
      <c r="AX558" s="109"/>
      <c r="AY558" s="109"/>
      <c r="AZ558" s="109"/>
      <c r="BA558" s="109"/>
      <c r="BB558" s="109"/>
      <c r="BC558" s="109"/>
      <c r="BD558" s="109"/>
      <c r="BE558" s="109"/>
      <c r="BF558" s="109"/>
      <c r="BG558" s="109"/>
      <c r="BH558" s="109"/>
      <c r="BI558" s="109"/>
      <c r="BJ558" s="109"/>
      <c r="BK558" s="109"/>
      <c r="BL558" s="109"/>
      <c r="BM558" s="109"/>
      <c r="BN558" s="109"/>
    </row>
    <row r="559" spans="1:66" x14ac:dyDescent="0.2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  <c r="AS559" s="109"/>
      <c r="AT559" s="109"/>
      <c r="AU559" s="109"/>
      <c r="AV559" s="109"/>
      <c r="AW559" s="109"/>
      <c r="AX559" s="109"/>
      <c r="AY559" s="109"/>
      <c r="AZ559" s="109"/>
      <c r="BA559" s="109"/>
      <c r="BB559" s="109"/>
      <c r="BC559" s="109"/>
      <c r="BD559" s="109"/>
      <c r="BE559" s="109"/>
      <c r="BF559" s="109"/>
      <c r="BG559" s="109"/>
      <c r="BH559" s="109"/>
      <c r="BI559" s="109"/>
      <c r="BJ559" s="109"/>
      <c r="BK559" s="109"/>
      <c r="BL559" s="109"/>
      <c r="BM559" s="109"/>
      <c r="BN559" s="109"/>
    </row>
    <row r="560" spans="1:66" x14ac:dyDescent="0.2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  <c r="AS560" s="109"/>
      <c r="AT560" s="109"/>
      <c r="AU560" s="109"/>
      <c r="AV560" s="109"/>
      <c r="AW560" s="109"/>
      <c r="AX560" s="109"/>
      <c r="AY560" s="109"/>
      <c r="AZ560" s="109"/>
      <c r="BA560" s="109"/>
      <c r="BB560" s="109"/>
      <c r="BC560" s="109"/>
      <c r="BD560" s="109"/>
      <c r="BE560" s="109"/>
      <c r="BF560" s="109"/>
      <c r="BG560" s="109"/>
      <c r="BH560" s="109"/>
      <c r="BI560" s="109"/>
      <c r="BJ560" s="109"/>
      <c r="BK560" s="109"/>
      <c r="BL560" s="109"/>
      <c r="BM560" s="109"/>
      <c r="BN560" s="109"/>
    </row>
    <row r="561" spans="1:66" x14ac:dyDescent="0.2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  <c r="AT561" s="109"/>
      <c r="AU561" s="109"/>
      <c r="AV561" s="109"/>
      <c r="AW561" s="109"/>
      <c r="AX561" s="109"/>
      <c r="AY561" s="109"/>
      <c r="AZ561" s="109"/>
      <c r="BA561" s="109"/>
      <c r="BB561" s="109"/>
      <c r="BC561" s="109"/>
      <c r="BD561" s="109"/>
      <c r="BE561" s="109"/>
      <c r="BF561" s="109"/>
      <c r="BG561" s="109"/>
      <c r="BH561" s="109"/>
      <c r="BI561" s="109"/>
      <c r="BJ561" s="109"/>
      <c r="BK561" s="109"/>
      <c r="BL561" s="109"/>
      <c r="BM561" s="109"/>
      <c r="BN561" s="109"/>
    </row>
    <row r="562" spans="1:66" x14ac:dyDescent="0.2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AY562" s="109"/>
      <c r="AZ562" s="109"/>
      <c r="BA562" s="109"/>
      <c r="BB562" s="109"/>
      <c r="BC562" s="109"/>
      <c r="BD562" s="109"/>
      <c r="BE562" s="109"/>
      <c r="BF562" s="109"/>
      <c r="BG562" s="109"/>
      <c r="BH562" s="109"/>
      <c r="BI562" s="109"/>
      <c r="BJ562" s="109"/>
      <c r="BK562" s="109"/>
      <c r="BL562" s="109"/>
      <c r="BM562" s="109"/>
      <c r="BN562" s="109"/>
    </row>
    <row r="563" spans="1:66" x14ac:dyDescent="0.2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  <c r="AT563" s="109"/>
      <c r="AU563" s="109"/>
      <c r="AV563" s="109"/>
      <c r="AW563" s="109"/>
      <c r="AX563" s="109"/>
      <c r="AY563" s="109"/>
      <c r="AZ563" s="109"/>
      <c r="BA563" s="109"/>
      <c r="BB563" s="109"/>
      <c r="BC563" s="109"/>
      <c r="BD563" s="109"/>
      <c r="BE563" s="109"/>
      <c r="BF563" s="109"/>
      <c r="BG563" s="109"/>
      <c r="BH563" s="109"/>
      <c r="BI563" s="109"/>
      <c r="BJ563" s="109"/>
      <c r="BK563" s="109"/>
      <c r="BL563" s="109"/>
      <c r="BM563" s="109"/>
      <c r="BN563" s="109"/>
    </row>
    <row r="564" spans="1:66" x14ac:dyDescent="0.2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  <c r="AT564" s="109"/>
      <c r="AU564" s="109"/>
      <c r="AV564" s="109"/>
      <c r="AW564" s="109"/>
      <c r="AX564" s="109"/>
      <c r="AY564" s="109"/>
      <c r="AZ564" s="109"/>
      <c r="BA564" s="109"/>
      <c r="BB564" s="109"/>
      <c r="BC564" s="109"/>
      <c r="BD564" s="109"/>
      <c r="BE564" s="109"/>
      <c r="BF564" s="109"/>
      <c r="BG564" s="109"/>
      <c r="BH564" s="109"/>
      <c r="BI564" s="109"/>
      <c r="BJ564" s="109"/>
      <c r="BK564" s="109"/>
      <c r="BL564" s="109"/>
      <c r="BM564" s="109"/>
      <c r="BN564" s="109"/>
    </row>
    <row r="565" spans="1:66" x14ac:dyDescent="0.2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  <c r="AT565" s="109"/>
      <c r="AU565" s="109"/>
      <c r="AV565" s="109"/>
      <c r="AW565" s="109"/>
      <c r="AX565" s="109"/>
      <c r="AY565" s="109"/>
      <c r="AZ565" s="109"/>
      <c r="BA565" s="109"/>
      <c r="BB565" s="109"/>
      <c r="BC565" s="109"/>
      <c r="BD565" s="109"/>
      <c r="BE565" s="109"/>
      <c r="BF565" s="109"/>
      <c r="BG565" s="109"/>
      <c r="BH565" s="109"/>
      <c r="BI565" s="109"/>
      <c r="BJ565" s="109"/>
      <c r="BK565" s="109"/>
      <c r="BL565" s="109"/>
      <c r="BM565" s="109"/>
      <c r="BN565" s="109"/>
    </row>
    <row r="566" spans="1:66" x14ac:dyDescent="0.2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  <c r="AT566" s="109"/>
      <c r="AU566" s="109"/>
      <c r="AV566" s="109"/>
      <c r="AW566" s="109"/>
      <c r="AX566" s="109"/>
      <c r="AY566" s="109"/>
      <c r="AZ566" s="109"/>
      <c r="BA566" s="109"/>
      <c r="BB566" s="109"/>
      <c r="BC566" s="109"/>
      <c r="BD566" s="109"/>
      <c r="BE566" s="109"/>
      <c r="BF566" s="109"/>
      <c r="BG566" s="109"/>
      <c r="BH566" s="109"/>
      <c r="BI566" s="109"/>
      <c r="BJ566" s="109"/>
      <c r="BK566" s="109"/>
      <c r="BL566" s="109"/>
      <c r="BM566" s="109"/>
      <c r="BN566" s="109"/>
    </row>
    <row r="567" spans="1:66" x14ac:dyDescent="0.2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AY567" s="109"/>
      <c r="AZ567" s="109"/>
      <c r="BA567" s="109"/>
      <c r="BB567" s="109"/>
      <c r="BC567" s="109"/>
      <c r="BD567" s="109"/>
      <c r="BE567" s="109"/>
      <c r="BF567" s="109"/>
      <c r="BG567" s="109"/>
      <c r="BH567" s="109"/>
      <c r="BI567" s="109"/>
      <c r="BJ567" s="109"/>
      <c r="BK567" s="109"/>
      <c r="BL567" s="109"/>
      <c r="BM567" s="109"/>
      <c r="BN567" s="109"/>
    </row>
    <row r="568" spans="1:66" x14ac:dyDescent="0.2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AY568" s="109"/>
      <c r="AZ568" s="109"/>
      <c r="BA568" s="109"/>
      <c r="BB568" s="109"/>
      <c r="BC568" s="109"/>
      <c r="BD568" s="109"/>
      <c r="BE568" s="109"/>
      <c r="BF568" s="109"/>
      <c r="BG568" s="109"/>
      <c r="BH568" s="109"/>
      <c r="BI568" s="109"/>
      <c r="BJ568" s="109"/>
      <c r="BK568" s="109"/>
      <c r="BL568" s="109"/>
      <c r="BM568" s="109"/>
      <c r="BN568" s="109"/>
    </row>
    <row r="569" spans="1:66" x14ac:dyDescent="0.2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AY569" s="109"/>
      <c r="AZ569" s="109"/>
      <c r="BA569" s="109"/>
      <c r="BB569" s="109"/>
      <c r="BC569" s="109"/>
      <c r="BD569" s="109"/>
      <c r="BE569" s="109"/>
      <c r="BF569" s="109"/>
      <c r="BG569" s="109"/>
      <c r="BH569" s="109"/>
      <c r="BI569" s="109"/>
      <c r="BJ569" s="109"/>
      <c r="BK569" s="109"/>
      <c r="BL569" s="109"/>
      <c r="BM569" s="109"/>
      <c r="BN569" s="109"/>
    </row>
    <row r="570" spans="1:66" x14ac:dyDescent="0.2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AY570" s="109"/>
      <c r="AZ570" s="109"/>
      <c r="BA570" s="109"/>
      <c r="BB570" s="109"/>
      <c r="BC570" s="109"/>
      <c r="BD570" s="109"/>
      <c r="BE570" s="109"/>
      <c r="BF570" s="109"/>
      <c r="BG570" s="109"/>
      <c r="BH570" s="109"/>
      <c r="BI570" s="109"/>
      <c r="BJ570" s="109"/>
      <c r="BK570" s="109"/>
      <c r="BL570" s="109"/>
      <c r="BM570" s="109"/>
      <c r="BN570" s="109"/>
    </row>
    <row r="571" spans="1:66" x14ac:dyDescent="0.2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AY571" s="109"/>
      <c r="AZ571" s="109"/>
      <c r="BA571" s="109"/>
      <c r="BB571" s="109"/>
      <c r="BC571" s="109"/>
      <c r="BD571" s="109"/>
      <c r="BE571" s="109"/>
      <c r="BF571" s="109"/>
      <c r="BG571" s="109"/>
      <c r="BH571" s="109"/>
      <c r="BI571" s="109"/>
      <c r="BJ571" s="109"/>
      <c r="BK571" s="109"/>
      <c r="BL571" s="109"/>
      <c r="BM571" s="109"/>
      <c r="BN571" s="109"/>
    </row>
    <row r="572" spans="1:66" x14ac:dyDescent="0.2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  <c r="AT572" s="109"/>
      <c r="AU572" s="109"/>
      <c r="AV572" s="109"/>
      <c r="AW572" s="109"/>
      <c r="AX572" s="109"/>
      <c r="AY572" s="109"/>
      <c r="AZ572" s="109"/>
      <c r="BA572" s="109"/>
      <c r="BB572" s="109"/>
      <c r="BC572" s="109"/>
      <c r="BD572" s="109"/>
      <c r="BE572" s="109"/>
      <c r="BF572" s="109"/>
      <c r="BG572" s="109"/>
      <c r="BH572" s="109"/>
      <c r="BI572" s="109"/>
      <c r="BJ572" s="109"/>
      <c r="BK572" s="109"/>
      <c r="BL572" s="109"/>
      <c r="BM572" s="109"/>
      <c r="BN572" s="109"/>
    </row>
    <row r="573" spans="1:66" x14ac:dyDescent="0.2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  <c r="AT573" s="109"/>
      <c r="AU573" s="109"/>
      <c r="AV573" s="109"/>
      <c r="AW573" s="109"/>
      <c r="AX573" s="109"/>
      <c r="AY573" s="109"/>
      <c r="AZ573" s="109"/>
      <c r="BA573" s="109"/>
      <c r="BB573" s="109"/>
      <c r="BC573" s="109"/>
      <c r="BD573" s="109"/>
      <c r="BE573" s="109"/>
      <c r="BF573" s="109"/>
      <c r="BG573" s="109"/>
      <c r="BH573" s="109"/>
      <c r="BI573" s="109"/>
      <c r="BJ573" s="109"/>
      <c r="BK573" s="109"/>
      <c r="BL573" s="109"/>
      <c r="BM573" s="109"/>
      <c r="BN573" s="109"/>
    </row>
    <row r="574" spans="1:66" x14ac:dyDescent="0.2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  <c r="AV574" s="109"/>
      <c r="AW574" s="109"/>
      <c r="AX574" s="109"/>
      <c r="AY574" s="109"/>
      <c r="AZ574" s="109"/>
      <c r="BA574" s="109"/>
      <c r="BB574" s="109"/>
      <c r="BC574" s="109"/>
      <c r="BD574" s="109"/>
      <c r="BE574" s="109"/>
      <c r="BF574" s="109"/>
      <c r="BG574" s="109"/>
      <c r="BH574" s="109"/>
      <c r="BI574" s="109"/>
      <c r="BJ574" s="109"/>
      <c r="BK574" s="109"/>
      <c r="BL574" s="109"/>
      <c r="BM574" s="109"/>
      <c r="BN574" s="109"/>
    </row>
    <row r="575" spans="1:66" x14ac:dyDescent="0.2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AY575" s="109"/>
      <c r="AZ575" s="109"/>
      <c r="BA575" s="109"/>
      <c r="BB575" s="109"/>
      <c r="BC575" s="109"/>
      <c r="BD575" s="109"/>
      <c r="BE575" s="109"/>
      <c r="BF575" s="109"/>
      <c r="BG575" s="109"/>
      <c r="BH575" s="109"/>
      <c r="BI575" s="109"/>
      <c r="BJ575" s="109"/>
      <c r="BK575" s="109"/>
      <c r="BL575" s="109"/>
      <c r="BM575" s="109"/>
      <c r="BN575" s="109"/>
    </row>
    <row r="576" spans="1:66" x14ac:dyDescent="0.2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AY576" s="109"/>
      <c r="AZ576" s="109"/>
      <c r="BA576" s="109"/>
      <c r="BB576" s="109"/>
      <c r="BC576" s="109"/>
      <c r="BD576" s="109"/>
      <c r="BE576" s="109"/>
      <c r="BF576" s="109"/>
      <c r="BG576" s="109"/>
      <c r="BH576" s="109"/>
      <c r="BI576" s="109"/>
      <c r="BJ576" s="109"/>
      <c r="BK576" s="109"/>
      <c r="BL576" s="109"/>
      <c r="BM576" s="109"/>
      <c r="BN576" s="109"/>
    </row>
    <row r="577" spans="1:66" x14ac:dyDescent="0.2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AY577" s="109"/>
      <c r="AZ577" s="109"/>
      <c r="BA577" s="109"/>
      <c r="BB577" s="109"/>
      <c r="BC577" s="109"/>
      <c r="BD577" s="109"/>
      <c r="BE577" s="109"/>
      <c r="BF577" s="109"/>
      <c r="BG577" s="109"/>
      <c r="BH577" s="109"/>
      <c r="BI577" s="109"/>
      <c r="BJ577" s="109"/>
      <c r="BK577" s="109"/>
      <c r="BL577" s="109"/>
      <c r="BM577" s="109"/>
      <c r="BN577" s="109"/>
    </row>
    <row r="578" spans="1:66" x14ac:dyDescent="0.2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AY578" s="109"/>
      <c r="AZ578" s="109"/>
      <c r="BA578" s="109"/>
      <c r="BB578" s="109"/>
      <c r="BC578" s="109"/>
      <c r="BD578" s="109"/>
      <c r="BE578" s="109"/>
      <c r="BF578" s="109"/>
      <c r="BG578" s="109"/>
      <c r="BH578" s="109"/>
      <c r="BI578" s="109"/>
      <c r="BJ578" s="109"/>
      <c r="BK578" s="109"/>
      <c r="BL578" s="109"/>
      <c r="BM578" s="109"/>
      <c r="BN578" s="109"/>
    </row>
    <row r="579" spans="1:66" x14ac:dyDescent="0.2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AY579" s="109"/>
      <c r="AZ579" s="109"/>
      <c r="BA579" s="109"/>
      <c r="BB579" s="109"/>
      <c r="BC579" s="109"/>
      <c r="BD579" s="109"/>
      <c r="BE579" s="109"/>
      <c r="BF579" s="109"/>
      <c r="BG579" s="109"/>
      <c r="BH579" s="109"/>
      <c r="BI579" s="109"/>
      <c r="BJ579" s="109"/>
      <c r="BK579" s="109"/>
      <c r="BL579" s="109"/>
      <c r="BM579" s="109"/>
      <c r="BN579" s="109"/>
    </row>
    <row r="580" spans="1:66" x14ac:dyDescent="0.2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AY580" s="109"/>
      <c r="AZ580" s="109"/>
      <c r="BA580" s="109"/>
      <c r="BB580" s="109"/>
      <c r="BC580" s="109"/>
      <c r="BD580" s="109"/>
      <c r="BE580" s="109"/>
      <c r="BF580" s="109"/>
      <c r="BG580" s="109"/>
      <c r="BH580" s="109"/>
      <c r="BI580" s="109"/>
      <c r="BJ580" s="109"/>
      <c r="BK580" s="109"/>
      <c r="BL580" s="109"/>
      <c r="BM580" s="109"/>
      <c r="BN580" s="109"/>
    </row>
    <row r="581" spans="1:66" x14ac:dyDescent="0.2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  <c r="BA581" s="109"/>
      <c r="BB581" s="109"/>
      <c r="BC581" s="109"/>
      <c r="BD581" s="109"/>
      <c r="BE581" s="109"/>
      <c r="BF581" s="109"/>
      <c r="BG581" s="109"/>
      <c r="BH581" s="109"/>
      <c r="BI581" s="109"/>
      <c r="BJ581" s="109"/>
      <c r="BK581" s="109"/>
      <c r="BL581" s="109"/>
      <c r="BM581" s="109"/>
      <c r="BN581" s="109"/>
    </row>
    <row r="582" spans="1:66" x14ac:dyDescent="0.2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  <c r="BA582" s="109"/>
      <c r="BB582" s="109"/>
      <c r="BC582" s="109"/>
      <c r="BD582" s="109"/>
      <c r="BE582" s="109"/>
      <c r="BF582" s="109"/>
      <c r="BG582" s="109"/>
      <c r="BH582" s="109"/>
      <c r="BI582" s="109"/>
      <c r="BJ582" s="109"/>
      <c r="BK582" s="109"/>
      <c r="BL582" s="109"/>
      <c r="BM582" s="109"/>
      <c r="BN582" s="109"/>
    </row>
    <row r="583" spans="1:66" x14ac:dyDescent="0.2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  <c r="BA583" s="109"/>
      <c r="BB583" s="109"/>
      <c r="BC583" s="109"/>
      <c r="BD583" s="109"/>
      <c r="BE583" s="109"/>
      <c r="BF583" s="109"/>
      <c r="BG583" s="109"/>
      <c r="BH583" s="109"/>
      <c r="BI583" s="109"/>
      <c r="BJ583" s="109"/>
      <c r="BK583" s="109"/>
      <c r="BL583" s="109"/>
      <c r="BM583" s="109"/>
      <c r="BN583" s="109"/>
    </row>
    <row r="584" spans="1:66" x14ac:dyDescent="0.2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AY584" s="109"/>
      <c r="AZ584" s="109"/>
      <c r="BA584" s="109"/>
      <c r="BB584" s="109"/>
      <c r="BC584" s="109"/>
      <c r="BD584" s="109"/>
      <c r="BE584" s="109"/>
      <c r="BF584" s="109"/>
      <c r="BG584" s="109"/>
      <c r="BH584" s="109"/>
      <c r="BI584" s="109"/>
      <c r="BJ584" s="109"/>
      <c r="BK584" s="109"/>
      <c r="BL584" s="109"/>
      <c r="BM584" s="109"/>
      <c r="BN584" s="109"/>
    </row>
    <row r="585" spans="1:66" x14ac:dyDescent="0.2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AY585" s="109"/>
      <c r="AZ585" s="109"/>
      <c r="BA585" s="109"/>
      <c r="BB585" s="109"/>
      <c r="BC585" s="109"/>
      <c r="BD585" s="109"/>
      <c r="BE585" s="109"/>
      <c r="BF585" s="109"/>
      <c r="BG585" s="109"/>
      <c r="BH585" s="109"/>
      <c r="BI585" s="109"/>
      <c r="BJ585" s="109"/>
      <c r="BK585" s="109"/>
      <c r="BL585" s="109"/>
      <c r="BM585" s="109"/>
      <c r="BN585" s="109"/>
    </row>
    <row r="586" spans="1:66" x14ac:dyDescent="0.2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AY586" s="109"/>
      <c r="AZ586" s="109"/>
      <c r="BA586" s="109"/>
      <c r="BB586" s="109"/>
      <c r="BC586" s="109"/>
      <c r="BD586" s="109"/>
      <c r="BE586" s="109"/>
      <c r="BF586" s="109"/>
      <c r="BG586" s="109"/>
      <c r="BH586" s="109"/>
      <c r="BI586" s="109"/>
      <c r="BJ586" s="109"/>
      <c r="BK586" s="109"/>
      <c r="BL586" s="109"/>
      <c r="BM586" s="109"/>
      <c r="BN586" s="109"/>
    </row>
    <row r="587" spans="1:66" x14ac:dyDescent="0.2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  <c r="BA587" s="109"/>
      <c r="BB587" s="109"/>
      <c r="BC587" s="109"/>
      <c r="BD587" s="109"/>
      <c r="BE587" s="109"/>
      <c r="BF587" s="109"/>
      <c r="BG587" s="109"/>
      <c r="BH587" s="109"/>
      <c r="BI587" s="109"/>
      <c r="BJ587" s="109"/>
      <c r="BK587" s="109"/>
      <c r="BL587" s="109"/>
      <c r="BM587" s="109"/>
      <c r="BN587" s="109"/>
    </row>
    <row r="588" spans="1:66" x14ac:dyDescent="0.2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AY588" s="109"/>
      <c r="AZ588" s="109"/>
      <c r="BA588" s="109"/>
      <c r="BB588" s="109"/>
      <c r="BC588" s="109"/>
      <c r="BD588" s="109"/>
      <c r="BE588" s="109"/>
      <c r="BF588" s="109"/>
      <c r="BG588" s="109"/>
      <c r="BH588" s="109"/>
      <c r="BI588" s="109"/>
      <c r="BJ588" s="109"/>
      <c r="BK588" s="109"/>
      <c r="BL588" s="109"/>
      <c r="BM588" s="109"/>
      <c r="BN588" s="109"/>
    </row>
    <row r="589" spans="1:66" x14ac:dyDescent="0.2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AY589" s="109"/>
      <c r="AZ589" s="109"/>
      <c r="BA589" s="109"/>
      <c r="BB589" s="109"/>
      <c r="BC589" s="109"/>
      <c r="BD589" s="109"/>
      <c r="BE589" s="109"/>
      <c r="BF589" s="109"/>
      <c r="BG589" s="109"/>
      <c r="BH589" s="109"/>
      <c r="BI589" s="109"/>
      <c r="BJ589" s="109"/>
      <c r="BK589" s="109"/>
      <c r="BL589" s="109"/>
      <c r="BM589" s="109"/>
      <c r="BN589" s="109"/>
    </row>
    <row r="590" spans="1:66" x14ac:dyDescent="0.2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AY590" s="109"/>
      <c r="AZ590" s="109"/>
      <c r="BA590" s="109"/>
      <c r="BB590" s="109"/>
      <c r="BC590" s="109"/>
      <c r="BD590" s="109"/>
      <c r="BE590" s="109"/>
      <c r="BF590" s="109"/>
      <c r="BG590" s="109"/>
      <c r="BH590" s="109"/>
      <c r="BI590" s="109"/>
      <c r="BJ590" s="109"/>
      <c r="BK590" s="109"/>
      <c r="BL590" s="109"/>
      <c r="BM590" s="109"/>
      <c r="BN590" s="109"/>
    </row>
    <row r="591" spans="1:66" x14ac:dyDescent="0.2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AY591" s="109"/>
      <c r="AZ591" s="109"/>
      <c r="BA591" s="109"/>
      <c r="BB591" s="109"/>
      <c r="BC591" s="109"/>
      <c r="BD591" s="109"/>
      <c r="BE591" s="109"/>
      <c r="BF591" s="109"/>
      <c r="BG591" s="109"/>
      <c r="BH591" s="109"/>
      <c r="BI591" s="109"/>
      <c r="BJ591" s="109"/>
      <c r="BK591" s="109"/>
      <c r="BL591" s="109"/>
      <c r="BM591" s="109"/>
      <c r="BN591" s="109"/>
    </row>
    <row r="592" spans="1:66" x14ac:dyDescent="0.2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AY592" s="109"/>
      <c r="AZ592" s="109"/>
      <c r="BA592" s="109"/>
      <c r="BB592" s="109"/>
      <c r="BC592" s="109"/>
      <c r="BD592" s="109"/>
      <c r="BE592" s="109"/>
      <c r="BF592" s="109"/>
      <c r="BG592" s="109"/>
      <c r="BH592" s="109"/>
      <c r="BI592" s="109"/>
      <c r="BJ592" s="109"/>
      <c r="BK592" s="109"/>
      <c r="BL592" s="109"/>
      <c r="BM592" s="109"/>
      <c r="BN592" s="109"/>
    </row>
    <row r="593" spans="1:66" x14ac:dyDescent="0.2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AY593" s="109"/>
      <c r="AZ593" s="109"/>
      <c r="BA593" s="109"/>
      <c r="BB593" s="109"/>
      <c r="BC593" s="109"/>
      <c r="BD593" s="109"/>
      <c r="BE593" s="109"/>
      <c r="BF593" s="109"/>
      <c r="BG593" s="109"/>
      <c r="BH593" s="109"/>
      <c r="BI593" s="109"/>
      <c r="BJ593" s="109"/>
      <c r="BK593" s="109"/>
      <c r="BL593" s="109"/>
      <c r="BM593" s="109"/>
      <c r="BN593" s="109"/>
    </row>
    <row r="594" spans="1:66" x14ac:dyDescent="0.2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AY594" s="109"/>
      <c r="AZ594" s="109"/>
      <c r="BA594" s="109"/>
      <c r="BB594" s="109"/>
      <c r="BC594" s="109"/>
      <c r="BD594" s="109"/>
      <c r="BE594" s="109"/>
      <c r="BF594" s="109"/>
      <c r="BG594" s="109"/>
      <c r="BH594" s="109"/>
      <c r="BI594" s="109"/>
      <c r="BJ594" s="109"/>
      <c r="BK594" s="109"/>
      <c r="BL594" s="109"/>
      <c r="BM594" s="109"/>
      <c r="BN594" s="109"/>
    </row>
    <row r="595" spans="1:66" x14ac:dyDescent="0.2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  <c r="AV595" s="109"/>
      <c r="AW595" s="109"/>
      <c r="AX595" s="109"/>
      <c r="AY595" s="109"/>
      <c r="AZ595" s="109"/>
      <c r="BA595" s="109"/>
      <c r="BB595" s="109"/>
      <c r="BC595" s="109"/>
      <c r="BD595" s="109"/>
      <c r="BE595" s="109"/>
      <c r="BF595" s="109"/>
      <c r="BG595" s="109"/>
      <c r="BH595" s="109"/>
      <c r="BI595" s="109"/>
      <c r="BJ595" s="109"/>
      <c r="BK595" s="109"/>
      <c r="BL595" s="109"/>
      <c r="BM595" s="109"/>
      <c r="BN595" s="109"/>
    </row>
    <row r="596" spans="1:66" x14ac:dyDescent="0.2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  <c r="AV596" s="109"/>
      <c r="AW596" s="109"/>
      <c r="AX596" s="109"/>
      <c r="AY596" s="109"/>
      <c r="AZ596" s="109"/>
      <c r="BA596" s="109"/>
      <c r="BB596" s="109"/>
      <c r="BC596" s="109"/>
      <c r="BD596" s="109"/>
      <c r="BE596" s="109"/>
      <c r="BF596" s="109"/>
      <c r="BG596" s="109"/>
      <c r="BH596" s="109"/>
      <c r="BI596" s="109"/>
      <c r="BJ596" s="109"/>
      <c r="BK596" s="109"/>
      <c r="BL596" s="109"/>
      <c r="BM596" s="109"/>
      <c r="BN596" s="109"/>
    </row>
    <row r="597" spans="1:66" x14ac:dyDescent="0.2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  <c r="AV597" s="109"/>
      <c r="AW597" s="109"/>
      <c r="AX597" s="109"/>
      <c r="AY597" s="109"/>
      <c r="AZ597" s="109"/>
      <c r="BA597" s="109"/>
      <c r="BB597" s="109"/>
      <c r="BC597" s="109"/>
      <c r="BD597" s="109"/>
      <c r="BE597" s="109"/>
      <c r="BF597" s="109"/>
      <c r="BG597" s="109"/>
      <c r="BH597" s="109"/>
      <c r="BI597" s="109"/>
      <c r="BJ597" s="109"/>
      <c r="BK597" s="109"/>
      <c r="BL597" s="109"/>
      <c r="BM597" s="109"/>
      <c r="BN597" s="109"/>
    </row>
    <row r="598" spans="1:66" x14ac:dyDescent="0.2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  <c r="AV598" s="109"/>
      <c r="AW598" s="109"/>
      <c r="AX598" s="109"/>
      <c r="AY598" s="109"/>
      <c r="AZ598" s="109"/>
      <c r="BA598" s="109"/>
      <c r="BB598" s="109"/>
      <c r="BC598" s="109"/>
      <c r="BD598" s="109"/>
      <c r="BE598" s="109"/>
      <c r="BF598" s="109"/>
      <c r="BG598" s="109"/>
      <c r="BH598" s="109"/>
      <c r="BI598" s="109"/>
      <c r="BJ598" s="109"/>
      <c r="BK598" s="109"/>
      <c r="BL598" s="109"/>
      <c r="BM598" s="109"/>
      <c r="BN598" s="109"/>
    </row>
    <row r="599" spans="1:66" x14ac:dyDescent="0.2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  <c r="AV599" s="109"/>
      <c r="AW599" s="109"/>
      <c r="AX599" s="109"/>
      <c r="AY599" s="109"/>
      <c r="AZ599" s="109"/>
      <c r="BA599" s="109"/>
      <c r="BB599" s="109"/>
      <c r="BC599" s="109"/>
      <c r="BD599" s="109"/>
      <c r="BE599" s="109"/>
      <c r="BF599" s="109"/>
      <c r="BG599" s="109"/>
      <c r="BH599" s="109"/>
      <c r="BI599" s="109"/>
      <c r="BJ599" s="109"/>
      <c r="BK599" s="109"/>
      <c r="BL599" s="109"/>
      <c r="BM599" s="109"/>
      <c r="BN599" s="109"/>
    </row>
    <row r="600" spans="1:66" x14ac:dyDescent="0.2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  <c r="AV600" s="109"/>
      <c r="AW600" s="109"/>
      <c r="AX600" s="109"/>
      <c r="AY600" s="109"/>
      <c r="AZ600" s="109"/>
      <c r="BA600" s="109"/>
      <c r="BB600" s="109"/>
      <c r="BC600" s="109"/>
      <c r="BD600" s="109"/>
      <c r="BE600" s="109"/>
      <c r="BF600" s="109"/>
      <c r="BG600" s="109"/>
      <c r="BH600" s="109"/>
      <c r="BI600" s="109"/>
      <c r="BJ600" s="109"/>
      <c r="BK600" s="109"/>
      <c r="BL600" s="109"/>
      <c r="BM600" s="109"/>
      <c r="BN600" s="109"/>
    </row>
    <row r="601" spans="1:66" x14ac:dyDescent="0.2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  <c r="AV601" s="109"/>
      <c r="AW601" s="109"/>
      <c r="AX601" s="109"/>
      <c r="AY601" s="109"/>
      <c r="AZ601" s="109"/>
      <c r="BA601" s="109"/>
      <c r="BB601" s="109"/>
      <c r="BC601" s="109"/>
      <c r="BD601" s="109"/>
      <c r="BE601" s="109"/>
      <c r="BF601" s="109"/>
      <c r="BG601" s="109"/>
      <c r="BH601" s="109"/>
      <c r="BI601" s="109"/>
      <c r="BJ601" s="109"/>
      <c r="BK601" s="109"/>
      <c r="BL601" s="109"/>
      <c r="BM601" s="109"/>
      <c r="BN601" s="109"/>
    </row>
    <row r="602" spans="1:66" x14ac:dyDescent="0.2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  <c r="AT602" s="109"/>
      <c r="AU602" s="109"/>
      <c r="AV602" s="109"/>
      <c r="AW602" s="109"/>
      <c r="AX602" s="109"/>
      <c r="AY602" s="109"/>
      <c r="AZ602" s="109"/>
      <c r="BA602" s="109"/>
      <c r="BB602" s="109"/>
      <c r="BC602" s="109"/>
      <c r="BD602" s="109"/>
      <c r="BE602" s="109"/>
      <c r="BF602" s="109"/>
      <c r="BG602" s="109"/>
      <c r="BH602" s="109"/>
      <c r="BI602" s="109"/>
      <c r="BJ602" s="109"/>
      <c r="BK602" s="109"/>
      <c r="BL602" s="109"/>
      <c r="BM602" s="109"/>
      <c r="BN602" s="109"/>
    </row>
    <row r="603" spans="1:66" x14ac:dyDescent="0.2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  <c r="AT603" s="109"/>
      <c r="AU603" s="109"/>
      <c r="AV603" s="109"/>
      <c r="AW603" s="109"/>
      <c r="AX603" s="109"/>
      <c r="AY603" s="109"/>
      <c r="AZ603" s="109"/>
      <c r="BA603" s="109"/>
      <c r="BB603" s="109"/>
      <c r="BC603" s="109"/>
      <c r="BD603" s="109"/>
      <c r="BE603" s="109"/>
      <c r="BF603" s="109"/>
      <c r="BG603" s="109"/>
      <c r="BH603" s="109"/>
      <c r="BI603" s="109"/>
      <c r="BJ603" s="109"/>
      <c r="BK603" s="109"/>
      <c r="BL603" s="109"/>
      <c r="BM603" s="109"/>
      <c r="BN603" s="109"/>
    </row>
    <row r="604" spans="1:66" x14ac:dyDescent="0.2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  <c r="AV604" s="109"/>
      <c r="AW604" s="109"/>
      <c r="AX604" s="109"/>
      <c r="AY604" s="109"/>
      <c r="AZ604" s="109"/>
      <c r="BA604" s="109"/>
      <c r="BB604" s="109"/>
      <c r="BC604" s="109"/>
      <c r="BD604" s="109"/>
      <c r="BE604" s="109"/>
      <c r="BF604" s="109"/>
      <c r="BG604" s="109"/>
      <c r="BH604" s="109"/>
      <c r="BI604" s="109"/>
      <c r="BJ604" s="109"/>
      <c r="BK604" s="109"/>
      <c r="BL604" s="109"/>
      <c r="BM604" s="109"/>
      <c r="BN604" s="109"/>
    </row>
    <row r="605" spans="1:66" x14ac:dyDescent="0.2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  <c r="AV605" s="109"/>
      <c r="AW605" s="109"/>
      <c r="AX605" s="109"/>
      <c r="AY605" s="109"/>
      <c r="AZ605" s="109"/>
      <c r="BA605" s="109"/>
      <c r="BB605" s="109"/>
      <c r="BC605" s="109"/>
      <c r="BD605" s="109"/>
      <c r="BE605" s="109"/>
      <c r="BF605" s="109"/>
      <c r="BG605" s="109"/>
      <c r="BH605" s="109"/>
      <c r="BI605" s="109"/>
      <c r="BJ605" s="109"/>
      <c r="BK605" s="109"/>
      <c r="BL605" s="109"/>
      <c r="BM605" s="109"/>
      <c r="BN605" s="109"/>
    </row>
    <row r="606" spans="1:66" x14ac:dyDescent="0.2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  <c r="AT606" s="109"/>
      <c r="AU606" s="109"/>
      <c r="AV606" s="109"/>
      <c r="AW606" s="109"/>
      <c r="AX606" s="109"/>
      <c r="AY606" s="109"/>
      <c r="AZ606" s="109"/>
      <c r="BA606" s="109"/>
      <c r="BB606" s="109"/>
      <c r="BC606" s="109"/>
      <c r="BD606" s="109"/>
      <c r="BE606" s="109"/>
      <c r="BF606" s="109"/>
      <c r="BG606" s="109"/>
      <c r="BH606" s="109"/>
      <c r="BI606" s="109"/>
      <c r="BJ606" s="109"/>
      <c r="BK606" s="109"/>
      <c r="BL606" s="109"/>
      <c r="BM606" s="109"/>
      <c r="BN606" s="109"/>
    </row>
    <row r="607" spans="1:66" x14ac:dyDescent="0.2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  <c r="AT607" s="109"/>
      <c r="AU607" s="109"/>
      <c r="AV607" s="109"/>
      <c r="AW607" s="109"/>
      <c r="AX607" s="109"/>
      <c r="AY607" s="109"/>
      <c r="AZ607" s="109"/>
      <c r="BA607" s="109"/>
      <c r="BB607" s="109"/>
      <c r="BC607" s="109"/>
      <c r="BD607" s="109"/>
      <c r="BE607" s="109"/>
      <c r="BF607" s="109"/>
      <c r="BG607" s="109"/>
      <c r="BH607" s="109"/>
      <c r="BI607" s="109"/>
      <c r="BJ607" s="109"/>
      <c r="BK607" s="109"/>
      <c r="BL607" s="109"/>
      <c r="BM607" s="109"/>
      <c r="BN607" s="109"/>
    </row>
    <row r="608" spans="1:66" x14ac:dyDescent="0.2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  <c r="AT608" s="109"/>
      <c r="AU608" s="109"/>
      <c r="AV608" s="109"/>
      <c r="AW608" s="109"/>
      <c r="AX608" s="109"/>
      <c r="AY608" s="109"/>
      <c r="AZ608" s="109"/>
      <c r="BA608" s="109"/>
      <c r="BB608" s="109"/>
      <c r="BC608" s="109"/>
      <c r="BD608" s="109"/>
      <c r="BE608" s="109"/>
      <c r="BF608" s="109"/>
      <c r="BG608" s="109"/>
      <c r="BH608" s="109"/>
      <c r="BI608" s="109"/>
      <c r="BJ608" s="109"/>
      <c r="BK608" s="109"/>
      <c r="BL608" s="109"/>
      <c r="BM608" s="109"/>
      <c r="BN608" s="109"/>
    </row>
    <row r="609" spans="1:66" x14ac:dyDescent="0.2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9"/>
      <c r="AS609" s="109"/>
      <c r="AT609" s="109"/>
      <c r="AU609" s="109"/>
      <c r="AV609" s="109"/>
      <c r="AW609" s="109"/>
      <c r="AX609" s="109"/>
      <c r="AY609" s="109"/>
      <c r="AZ609" s="109"/>
      <c r="BA609" s="109"/>
      <c r="BB609" s="109"/>
      <c r="BC609" s="109"/>
      <c r="BD609" s="109"/>
      <c r="BE609" s="109"/>
      <c r="BF609" s="109"/>
      <c r="BG609" s="109"/>
      <c r="BH609" s="109"/>
      <c r="BI609" s="109"/>
      <c r="BJ609" s="109"/>
      <c r="BK609" s="109"/>
      <c r="BL609" s="109"/>
      <c r="BM609" s="109"/>
      <c r="BN609" s="109"/>
    </row>
    <row r="610" spans="1:66" x14ac:dyDescent="0.2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  <c r="AT610" s="109"/>
      <c r="AU610" s="109"/>
      <c r="AV610" s="109"/>
      <c r="AW610" s="109"/>
      <c r="AX610" s="109"/>
      <c r="AY610" s="109"/>
      <c r="AZ610" s="109"/>
      <c r="BA610" s="109"/>
      <c r="BB610" s="109"/>
      <c r="BC610" s="109"/>
      <c r="BD610" s="109"/>
      <c r="BE610" s="109"/>
      <c r="BF610" s="109"/>
      <c r="BG610" s="109"/>
      <c r="BH610" s="109"/>
      <c r="BI610" s="109"/>
      <c r="BJ610" s="109"/>
      <c r="BK610" s="109"/>
      <c r="BL610" s="109"/>
      <c r="BM610" s="109"/>
      <c r="BN610" s="109"/>
    </row>
    <row r="611" spans="1:66" x14ac:dyDescent="0.2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  <c r="AT611" s="109"/>
      <c r="AU611" s="109"/>
      <c r="AV611" s="109"/>
      <c r="AW611" s="109"/>
      <c r="AX611" s="109"/>
      <c r="AY611" s="109"/>
      <c r="AZ611" s="109"/>
      <c r="BA611" s="109"/>
      <c r="BB611" s="109"/>
      <c r="BC611" s="109"/>
      <c r="BD611" s="109"/>
      <c r="BE611" s="109"/>
      <c r="BF611" s="109"/>
      <c r="BG611" s="109"/>
      <c r="BH611" s="109"/>
      <c r="BI611" s="109"/>
      <c r="BJ611" s="109"/>
      <c r="BK611" s="109"/>
      <c r="BL611" s="109"/>
      <c r="BM611" s="109"/>
      <c r="BN611" s="109"/>
    </row>
    <row r="612" spans="1:66" x14ac:dyDescent="0.2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  <c r="AT612" s="109"/>
      <c r="AU612" s="109"/>
      <c r="AV612" s="109"/>
      <c r="AW612" s="109"/>
      <c r="AX612" s="109"/>
      <c r="AY612" s="109"/>
      <c r="AZ612" s="109"/>
      <c r="BA612" s="109"/>
      <c r="BB612" s="109"/>
      <c r="BC612" s="109"/>
      <c r="BD612" s="109"/>
      <c r="BE612" s="109"/>
      <c r="BF612" s="109"/>
      <c r="BG612" s="109"/>
      <c r="BH612" s="109"/>
      <c r="BI612" s="109"/>
      <c r="BJ612" s="109"/>
      <c r="BK612" s="109"/>
      <c r="BL612" s="109"/>
      <c r="BM612" s="109"/>
      <c r="BN612" s="109"/>
    </row>
    <row r="613" spans="1:66" x14ac:dyDescent="0.2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  <c r="AT613" s="109"/>
      <c r="AU613" s="109"/>
      <c r="AV613" s="109"/>
      <c r="AW613" s="109"/>
      <c r="AX613" s="109"/>
      <c r="AY613" s="109"/>
      <c r="AZ613" s="109"/>
      <c r="BA613" s="109"/>
      <c r="BB613" s="109"/>
      <c r="BC613" s="109"/>
      <c r="BD613" s="109"/>
      <c r="BE613" s="109"/>
      <c r="BF613" s="109"/>
      <c r="BG613" s="109"/>
      <c r="BH613" s="109"/>
      <c r="BI613" s="109"/>
      <c r="BJ613" s="109"/>
      <c r="BK613" s="109"/>
      <c r="BL613" s="109"/>
      <c r="BM613" s="109"/>
      <c r="BN613" s="109"/>
    </row>
    <row r="614" spans="1:66" x14ac:dyDescent="0.2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  <c r="AT614" s="109"/>
      <c r="AU614" s="109"/>
      <c r="AV614" s="109"/>
      <c r="AW614" s="109"/>
      <c r="AX614" s="109"/>
      <c r="AY614" s="109"/>
      <c r="AZ614" s="109"/>
      <c r="BA614" s="109"/>
      <c r="BB614" s="109"/>
      <c r="BC614" s="109"/>
      <c r="BD614" s="109"/>
      <c r="BE614" s="109"/>
      <c r="BF614" s="109"/>
      <c r="BG614" s="109"/>
      <c r="BH614" s="109"/>
      <c r="BI614" s="109"/>
      <c r="BJ614" s="109"/>
      <c r="BK614" s="109"/>
      <c r="BL614" s="109"/>
      <c r="BM614" s="109"/>
      <c r="BN614" s="109"/>
    </row>
    <row r="615" spans="1:66" x14ac:dyDescent="0.2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  <c r="AT615" s="109"/>
      <c r="AU615" s="109"/>
      <c r="AV615" s="109"/>
      <c r="AW615" s="109"/>
      <c r="AX615" s="109"/>
      <c r="AY615" s="109"/>
      <c r="AZ615" s="109"/>
      <c r="BA615" s="109"/>
      <c r="BB615" s="109"/>
      <c r="BC615" s="109"/>
      <c r="BD615" s="109"/>
      <c r="BE615" s="109"/>
      <c r="BF615" s="109"/>
      <c r="BG615" s="109"/>
      <c r="BH615" s="109"/>
      <c r="BI615" s="109"/>
      <c r="BJ615" s="109"/>
      <c r="BK615" s="109"/>
      <c r="BL615" s="109"/>
      <c r="BM615" s="109"/>
      <c r="BN615" s="109"/>
    </row>
    <row r="616" spans="1:66" x14ac:dyDescent="0.2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  <c r="AT616" s="109"/>
      <c r="AU616" s="109"/>
      <c r="AV616" s="109"/>
      <c r="AW616" s="109"/>
      <c r="AX616" s="109"/>
      <c r="AY616" s="109"/>
      <c r="AZ616" s="109"/>
      <c r="BA616" s="109"/>
      <c r="BB616" s="109"/>
      <c r="BC616" s="109"/>
      <c r="BD616" s="109"/>
      <c r="BE616" s="109"/>
      <c r="BF616" s="109"/>
      <c r="BG616" s="109"/>
      <c r="BH616" s="109"/>
      <c r="BI616" s="109"/>
      <c r="BJ616" s="109"/>
      <c r="BK616" s="109"/>
      <c r="BL616" s="109"/>
      <c r="BM616" s="109"/>
      <c r="BN616" s="109"/>
    </row>
    <row r="617" spans="1:66" x14ac:dyDescent="0.2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  <c r="AT617" s="109"/>
      <c r="AU617" s="109"/>
      <c r="AV617" s="109"/>
      <c r="AW617" s="109"/>
      <c r="AX617" s="109"/>
      <c r="AY617" s="109"/>
      <c r="AZ617" s="109"/>
      <c r="BA617" s="109"/>
      <c r="BB617" s="109"/>
      <c r="BC617" s="109"/>
      <c r="BD617" s="109"/>
      <c r="BE617" s="109"/>
      <c r="BF617" s="109"/>
      <c r="BG617" s="109"/>
      <c r="BH617" s="109"/>
      <c r="BI617" s="109"/>
      <c r="BJ617" s="109"/>
      <c r="BK617" s="109"/>
      <c r="BL617" s="109"/>
      <c r="BM617" s="109"/>
      <c r="BN617" s="109"/>
    </row>
    <row r="618" spans="1:66" x14ac:dyDescent="0.2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  <c r="AT618" s="109"/>
      <c r="AU618" s="109"/>
      <c r="AV618" s="109"/>
      <c r="AW618" s="109"/>
      <c r="AX618" s="109"/>
      <c r="AY618" s="109"/>
      <c r="AZ618" s="109"/>
      <c r="BA618" s="109"/>
      <c r="BB618" s="109"/>
      <c r="BC618" s="109"/>
      <c r="BD618" s="109"/>
      <c r="BE618" s="109"/>
      <c r="BF618" s="109"/>
      <c r="BG618" s="109"/>
      <c r="BH618" s="109"/>
      <c r="BI618" s="109"/>
      <c r="BJ618" s="109"/>
      <c r="BK618" s="109"/>
      <c r="BL618" s="109"/>
      <c r="BM618" s="109"/>
      <c r="BN618" s="109"/>
    </row>
    <row r="619" spans="1:66" x14ac:dyDescent="0.2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  <c r="AT619" s="109"/>
      <c r="AU619" s="109"/>
      <c r="AV619" s="109"/>
      <c r="AW619" s="109"/>
      <c r="AX619" s="109"/>
      <c r="AY619" s="109"/>
      <c r="AZ619" s="109"/>
      <c r="BA619" s="109"/>
      <c r="BB619" s="109"/>
      <c r="BC619" s="109"/>
      <c r="BD619" s="109"/>
      <c r="BE619" s="109"/>
      <c r="BF619" s="109"/>
      <c r="BG619" s="109"/>
      <c r="BH619" s="109"/>
      <c r="BI619" s="109"/>
      <c r="BJ619" s="109"/>
      <c r="BK619" s="109"/>
      <c r="BL619" s="109"/>
      <c r="BM619" s="109"/>
      <c r="BN619" s="109"/>
    </row>
  </sheetData>
  <sheetProtection algorithmName="SHA-512" hashValue="671Yr36CAshjVW5ciZh+UZQ6PZhnTSRX6+86wSepJP6vspBWf03i0twyr+Or1WWgbGN5Aiqmhw4IH/jfIE/26Q==" saltValue="WEqXIAhKpTspLOLFlSdz3Q==" spinCount="100000" sheet="1"/>
  <hyperlinks>
    <hyperlink ref="P30" location="Etusivu!A1" tooltip="Tästä pääset etusivulle" display="Etusivu" xr:uid="{00000000-0004-0000-0200-000000000000}"/>
    <hyperlink ref="P58" location="Etusivu!A1" tooltip="Tästä pääset etusivulle" display="Etusivu" xr:uid="{00000000-0004-0000-0200-000001000000}"/>
    <hyperlink ref="P86" location="Etusivu!A1" tooltip="Tästä pääset etusivulle" display="Etusivu" xr:uid="{00000000-0004-0000-0200-000002000000}"/>
    <hyperlink ref="R30" location="Etusivu!A392" tooltip="Tästä pääset laittamaan olosuhde/haittalisät" display="Haittalisä" xr:uid="{00000000-0004-0000-0200-000003000000}"/>
    <hyperlink ref="R58" location="Etusivu!A392" tooltip="Tästä pääset laittamaan olosuhde/haittalisät" display="Haittalisä" xr:uid="{00000000-0004-0000-0200-000004000000}"/>
    <hyperlink ref="R86" location="Etusivu!A392" tooltip="Tästä pääset laittamaan olosuhde/haittalisät" display="Haittalisä" xr:uid="{00000000-0004-0000-02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Q6:Q1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25"/>
  <sheetViews>
    <sheetView zoomScaleNormal="100" workbookViewId="0">
      <selection activeCell="Q11" sqref="Q11"/>
    </sheetView>
  </sheetViews>
  <sheetFormatPr defaultColWidth="9.140625" defaultRowHeight="12.75" x14ac:dyDescent="0.2"/>
  <cols>
    <col min="1" max="1" width="8.28515625" style="109" customWidth="1"/>
    <col min="2" max="2" width="7.140625" style="109" customWidth="1"/>
    <col min="3" max="3" width="7.140625" style="214" customWidth="1"/>
    <col min="4" max="4" width="7.140625" style="109" customWidth="1"/>
    <col min="5" max="5" width="7.140625" style="214" customWidth="1"/>
    <col min="6" max="15" width="7.140625" style="109" customWidth="1"/>
    <col min="16" max="16" width="7.28515625" style="109" customWidth="1"/>
    <col min="17" max="17" width="7.140625" style="136" customWidth="1"/>
    <col min="18" max="18" width="7.28515625" style="109" customWidth="1"/>
    <col min="19" max="16384" width="9.140625" style="109"/>
  </cols>
  <sheetData>
    <row r="1" spans="1:18" ht="17.25" customHeight="1" x14ac:dyDescent="0.2"/>
    <row r="2" spans="1:18" ht="18.75" customHeight="1" thickBot="1" x14ac:dyDescent="0.25">
      <c r="A2" s="134" t="s">
        <v>384</v>
      </c>
      <c r="B2" s="135"/>
      <c r="C2" s="135"/>
      <c r="D2" s="135"/>
      <c r="E2" s="135"/>
      <c r="F2" s="135"/>
      <c r="G2" s="135"/>
      <c r="H2" s="136"/>
      <c r="I2" s="301"/>
      <c r="J2" s="136"/>
      <c r="K2" s="136"/>
      <c r="L2" s="301"/>
      <c r="M2" s="136"/>
      <c r="N2" s="136"/>
      <c r="O2" s="136"/>
      <c r="P2" s="136"/>
      <c r="R2" s="136"/>
    </row>
    <row r="3" spans="1:18" ht="13.5" customHeight="1" x14ac:dyDescent="0.2">
      <c r="A3" s="136"/>
      <c r="B3" s="136"/>
      <c r="C3" s="215"/>
      <c r="D3" s="215"/>
      <c r="E3" s="215"/>
      <c r="F3" s="215"/>
      <c r="G3" s="215"/>
      <c r="H3" s="136"/>
      <c r="I3" s="136"/>
      <c r="J3" s="136"/>
      <c r="K3" s="136"/>
      <c r="L3" s="136"/>
      <c r="M3" s="136"/>
      <c r="N3" s="136"/>
      <c r="O3" s="136"/>
      <c r="P3" s="136"/>
      <c r="R3" s="136"/>
    </row>
    <row r="4" spans="1:18" ht="12.75" customHeight="1" x14ac:dyDescent="0.2">
      <c r="A4" s="136"/>
      <c r="B4" s="136" t="s">
        <v>239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R4" s="136"/>
    </row>
    <row r="5" spans="1:18" ht="12.75" customHeight="1" x14ac:dyDescent="0.2">
      <c r="A5" s="216" t="s">
        <v>260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16" t="s">
        <v>240</v>
      </c>
      <c r="Q5" s="216" t="s">
        <v>241</v>
      </c>
      <c r="R5" s="216" t="s">
        <v>242</v>
      </c>
    </row>
    <row r="6" spans="1:18" ht="12.75" customHeight="1" x14ac:dyDescent="0.2">
      <c r="A6" s="217">
        <v>100</v>
      </c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218">
        <f>SUM(B6:O6)</f>
        <v>0</v>
      </c>
      <c r="Q6" s="316"/>
      <c r="R6" s="218">
        <f>P6-Q6</f>
        <v>0</v>
      </c>
    </row>
    <row r="7" spans="1:18" ht="12.75" customHeight="1" x14ac:dyDescent="0.2">
      <c r="A7" s="217">
        <v>125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218">
        <f t="shared" ref="P7:P15" si="0">SUM(B7:O7)</f>
        <v>0</v>
      </c>
      <c r="Q7" s="316"/>
      <c r="R7" s="218">
        <f t="shared" ref="R7:R15" si="1">P7-Q7</f>
        <v>0</v>
      </c>
    </row>
    <row r="8" spans="1:18" ht="12.75" customHeight="1" x14ac:dyDescent="0.2">
      <c r="A8" s="217">
        <v>160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218">
        <f t="shared" si="0"/>
        <v>0</v>
      </c>
      <c r="Q8" s="316"/>
      <c r="R8" s="218">
        <f t="shared" si="1"/>
        <v>0</v>
      </c>
    </row>
    <row r="9" spans="1:18" ht="12.75" customHeight="1" x14ac:dyDescent="0.2">
      <c r="A9" s="217">
        <v>200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218">
        <f t="shared" si="0"/>
        <v>0</v>
      </c>
      <c r="Q9" s="316"/>
      <c r="R9" s="218">
        <f t="shared" si="1"/>
        <v>0</v>
      </c>
    </row>
    <row r="10" spans="1:18" ht="12.75" customHeight="1" x14ac:dyDescent="0.2">
      <c r="A10" s="217">
        <v>250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218">
        <f t="shared" si="0"/>
        <v>0</v>
      </c>
      <c r="Q10" s="316"/>
      <c r="R10" s="218">
        <f t="shared" si="1"/>
        <v>0</v>
      </c>
    </row>
    <row r="11" spans="1:18" ht="12.75" customHeight="1" x14ac:dyDescent="0.2">
      <c r="A11" s="217">
        <v>315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218">
        <f t="shared" si="0"/>
        <v>0</v>
      </c>
      <c r="Q11" s="316"/>
      <c r="R11" s="218">
        <f t="shared" si="1"/>
        <v>0</v>
      </c>
    </row>
    <row r="12" spans="1:18" ht="12.75" customHeight="1" x14ac:dyDescent="0.2">
      <c r="A12" s="217">
        <v>400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218">
        <f t="shared" si="0"/>
        <v>0</v>
      </c>
      <c r="Q12" s="316"/>
      <c r="R12" s="218">
        <f t="shared" si="1"/>
        <v>0</v>
      </c>
    </row>
    <row r="13" spans="1:18" ht="12.75" customHeight="1" x14ac:dyDescent="0.2">
      <c r="A13" s="217">
        <v>500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218">
        <f t="shared" si="0"/>
        <v>0</v>
      </c>
      <c r="Q13" s="316"/>
      <c r="R13" s="218">
        <f t="shared" si="1"/>
        <v>0</v>
      </c>
    </row>
    <row r="14" spans="1:18" ht="12.75" customHeight="1" x14ac:dyDescent="0.2">
      <c r="A14" s="217">
        <v>630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218">
        <f t="shared" si="0"/>
        <v>0</v>
      </c>
      <c r="Q14" s="316"/>
      <c r="R14" s="218">
        <f t="shared" si="1"/>
        <v>0</v>
      </c>
    </row>
    <row r="15" spans="1:18" ht="13.5" customHeight="1" x14ac:dyDescent="0.2">
      <c r="A15" s="217">
        <v>800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218">
        <f t="shared" si="0"/>
        <v>0</v>
      </c>
      <c r="Q15" s="316"/>
      <c r="R15" s="218">
        <f t="shared" si="1"/>
        <v>0</v>
      </c>
    </row>
    <row r="16" spans="1:18" ht="12.75" customHeight="1" x14ac:dyDescent="0.2">
      <c r="A16" s="217">
        <v>1000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218">
        <f>SUM(B16:O16)</f>
        <v>0</v>
      </c>
      <c r="Q16" s="316"/>
      <c r="R16" s="218">
        <f>P16-Q16</f>
        <v>0</v>
      </c>
    </row>
    <row r="17" spans="1:18" ht="12.75" customHeight="1" x14ac:dyDescent="0.2">
      <c r="A17" s="217">
        <v>1250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218">
        <f t="shared" ref="P17:P22" si="2">SUM(B17:O17)</f>
        <v>0</v>
      </c>
      <c r="Q17" s="316"/>
      <c r="R17" s="218">
        <f t="shared" ref="R17:R22" si="3">P17-Q17</f>
        <v>0</v>
      </c>
    </row>
    <row r="18" spans="1:18" ht="12.75" customHeight="1" x14ac:dyDescent="0.2">
      <c r="A18" s="217">
        <v>1400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218">
        <f t="shared" si="2"/>
        <v>0</v>
      </c>
      <c r="Q18" s="316"/>
      <c r="R18" s="218">
        <f t="shared" si="3"/>
        <v>0</v>
      </c>
    </row>
    <row r="19" spans="1:18" ht="12.75" customHeight="1" x14ac:dyDescent="0.2">
      <c r="A19" s="217">
        <v>1600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218">
        <f t="shared" si="2"/>
        <v>0</v>
      </c>
      <c r="Q19" s="316"/>
      <c r="R19" s="218">
        <f t="shared" si="3"/>
        <v>0</v>
      </c>
    </row>
    <row r="20" spans="1:18" ht="12.75" customHeight="1" x14ac:dyDescent="0.2">
      <c r="A20" s="217">
        <v>1800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218">
        <f t="shared" si="2"/>
        <v>0</v>
      </c>
      <c r="Q20" s="316"/>
      <c r="R20" s="218">
        <f t="shared" si="3"/>
        <v>0</v>
      </c>
    </row>
    <row r="21" spans="1:18" ht="12.75" customHeight="1" x14ac:dyDescent="0.2">
      <c r="A21" s="217">
        <v>2000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218">
        <f t="shared" si="2"/>
        <v>0</v>
      </c>
      <c r="Q21" s="316"/>
      <c r="R21" s="218">
        <f t="shared" si="3"/>
        <v>0</v>
      </c>
    </row>
    <row r="22" spans="1:18" ht="12" customHeight="1" x14ac:dyDescent="0.2">
      <c r="A22" s="217">
        <v>2400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218">
        <f t="shared" si="2"/>
        <v>0</v>
      </c>
      <c r="Q22" s="316"/>
      <c r="R22" s="218">
        <f t="shared" si="3"/>
        <v>0</v>
      </c>
    </row>
    <row r="23" spans="1:18" ht="13.5" customHeight="1" x14ac:dyDescent="0.2"/>
    <row r="24" spans="1:18" ht="12.75" customHeight="1" x14ac:dyDescent="0.2"/>
    <row r="25" spans="1:18" ht="12.75" customHeight="1" thickBot="1" x14ac:dyDescent="0.25">
      <c r="A25" s="134" t="s">
        <v>385</v>
      </c>
      <c r="B25" s="112"/>
      <c r="C25" s="219"/>
      <c r="D25" s="112"/>
      <c r="E25" s="219"/>
      <c r="F25" s="112"/>
      <c r="I25" s="300"/>
      <c r="L25" s="300"/>
      <c r="N25" s="327" t="s">
        <v>221</v>
      </c>
      <c r="P25" s="325" t="s">
        <v>286</v>
      </c>
    </row>
    <row r="26" spans="1:18" ht="12.75" customHeight="1" x14ac:dyDescent="0.2"/>
    <row r="27" spans="1:18" ht="13.5" customHeight="1" x14ac:dyDescent="0.2">
      <c r="A27" s="136"/>
      <c r="B27" s="136" t="s">
        <v>239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R27" s="136"/>
    </row>
    <row r="28" spans="1:18" ht="12.75" customHeight="1" x14ac:dyDescent="0.2">
      <c r="A28" s="216" t="s">
        <v>260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16" t="s">
        <v>240</v>
      </c>
      <c r="Q28" s="216" t="s">
        <v>241</v>
      </c>
      <c r="R28" s="216" t="s">
        <v>242</v>
      </c>
    </row>
    <row r="29" spans="1:18" ht="12.75" customHeight="1" x14ac:dyDescent="0.2">
      <c r="A29" s="217">
        <v>100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218">
        <f>SUM(B29:O29)</f>
        <v>0</v>
      </c>
      <c r="Q29" s="316"/>
      <c r="R29" s="218">
        <f>P29-Q29</f>
        <v>0</v>
      </c>
    </row>
    <row r="30" spans="1:18" ht="12.75" customHeight="1" x14ac:dyDescent="0.2">
      <c r="A30" s="217">
        <v>125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218">
        <f t="shared" ref="P30:P37" si="4">SUM(B30:O30)</f>
        <v>0</v>
      </c>
      <c r="Q30" s="316"/>
      <c r="R30" s="218">
        <f t="shared" ref="R30:R37" si="5">P30-Q30</f>
        <v>0</v>
      </c>
    </row>
    <row r="31" spans="1:18" ht="12.75" customHeight="1" x14ac:dyDescent="0.2">
      <c r="A31" s="217">
        <v>160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218">
        <f t="shared" si="4"/>
        <v>0</v>
      </c>
      <c r="Q31" s="316"/>
      <c r="R31" s="218">
        <f t="shared" si="5"/>
        <v>0</v>
      </c>
    </row>
    <row r="32" spans="1:18" ht="12.75" customHeight="1" x14ac:dyDescent="0.2">
      <c r="A32" s="217">
        <v>200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218">
        <f t="shared" si="4"/>
        <v>0</v>
      </c>
      <c r="Q32" s="316"/>
      <c r="R32" s="218">
        <f t="shared" si="5"/>
        <v>0</v>
      </c>
    </row>
    <row r="33" spans="1:18" ht="12.75" customHeight="1" x14ac:dyDescent="0.2">
      <c r="A33" s="217">
        <v>250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218">
        <f t="shared" si="4"/>
        <v>0</v>
      </c>
      <c r="Q33" s="316"/>
      <c r="R33" s="218">
        <f t="shared" si="5"/>
        <v>0</v>
      </c>
    </row>
    <row r="34" spans="1:18" ht="12.75" customHeight="1" x14ac:dyDescent="0.2">
      <c r="A34" s="217">
        <v>315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218">
        <f t="shared" si="4"/>
        <v>0</v>
      </c>
      <c r="Q34" s="316"/>
      <c r="R34" s="218">
        <f t="shared" si="5"/>
        <v>0</v>
      </c>
    </row>
    <row r="35" spans="1:18" ht="12.75" customHeight="1" x14ac:dyDescent="0.2">
      <c r="A35" s="217">
        <v>400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218">
        <f t="shared" si="4"/>
        <v>0</v>
      </c>
      <c r="Q35" s="316"/>
      <c r="R35" s="218">
        <f t="shared" si="5"/>
        <v>0</v>
      </c>
    </row>
    <row r="36" spans="1:18" ht="12.75" customHeight="1" x14ac:dyDescent="0.2">
      <c r="A36" s="217">
        <v>500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218">
        <f t="shared" si="4"/>
        <v>0</v>
      </c>
      <c r="Q36" s="316"/>
      <c r="R36" s="218">
        <f t="shared" si="5"/>
        <v>0</v>
      </c>
    </row>
    <row r="37" spans="1:18" ht="12.75" customHeight="1" x14ac:dyDescent="0.2">
      <c r="A37" s="217">
        <v>630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218">
        <f t="shared" si="4"/>
        <v>0</v>
      </c>
      <c r="Q37" s="316"/>
      <c r="R37" s="218">
        <f t="shared" si="5"/>
        <v>0</v>
      </c>
    </row>
    <row r="38" spans="1:18" ht="12.75" customHeight="1" x14ac:dyDescent="0.2">
      <c r="C38" s="109"/>
      <c r="E38" s="109"/>
    </row>
    <row r="39" spans="1:18" ht="12.75" customHeight="1" x14ac:dyDescent="0.2">
      <c r="C39" s="109"/>
      <c r="E39" s="109"/>
    </row>
    <row r="40" spans="1:18" ht="12.75" customHeight="1" x14ac:dyDescent="0.2">
      <c r="C40" s="109"/>
      <c r="E40" s="109"/>
    </row>
    <row r="41" spans="1:18" ht="12.75" customHeight="1" x14ac:dyDescent="0.2">
      <c r="C41" s="109"/>
      <c r="E41" s="109"/>
    </row>
    <row r="42" spans="1:18" ht="12" customHeight="1" x14ac:dyDescent="0.2">
      <c r="C42" s="109"/>
      <c r="E42" s="109"/>
    </row>
    <row r="43" spans="1:18" x14ac:dyDescent="0.2">
      <c r="C43" s="109"/>
      <c r="E43" s="109"/>
    </row>
    <row r="44" spans="1:18" ht="12.75" customHeight="1" thickBot="1" x14ac:dyDescent="0.25">
      <c r="A44" s="134" t="s">
        <v>411</v>
      </c>
      <c r="B44" s="135"/>
      <c r="C44" s="135"/>
      <c r="D44" s="135"/>
      <c r="E44" s="135"/>
      <c r="F44" s="135"/>
      <c r="G44" s="136"/>
      <c r="H44" s="136"/>
      <c r="I44" s="136"/>
      <c r="J44" s="136"/>
      <c r="K44" s="136"/>
      <c r="L44" s="136"/>
      <c r="M44" s="136"/>
      <c r="N44" s="300"/>
      <c r="O44" s="136"/>
      <c r="P44" s="300"/>
      <c r="R44" s="136"/>
    </row>
    <row r="45" spans="1:18" ht="12.75" customHeight="1" x14ac:dyDescent="0.2">
      <c r="A45" s="136"/>
      <c r="B45" s="136"/>
      <c r="C45" s="215"/>
      <c r="D45" s="215"/>
      <c r="E45" s="215"/>
      <c r="F45" s="215"/>
      <c r="G45" s="215"/>
      <c r="H45" s="136"/>
      <c r="I45" s="136"/>
      <c r="J45" s="136"/>
      <c r="K45" s="136"/>
      <c r="L45" s="136"/>
      <c r="M45" s="136"/>
      <c r="N45" s="136"/>
      <c r="O45" s="136"/>
      <c r="P45" s="136"/>
      <c r="R45" s="136"/>
    </row>
    <row r="46" spans="1:18" ht="14.25" customHeight="1" x14ac:dyDescent="0.2">
      <c r="A46" s="136"/>
      <c r="B46" s="136" t="s">
        <v>239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R46" s="136"/>
    </row>
    <row r="47" spans="1:18" ht="12.75" customHeight="1" x14ac:dyDescent="0.2">
      <c r="A47" s="216" t="s">
        <v>260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16" t="s">
        <v>240</v>
      </c>
      <c r="Q47" s="216" t="s">
        <v>241</v>
      </c>
      <c r="R47" s="216" t="s">
        <v>242</v>
      </c>
    </row>
    <row r="48" spans="1:18" ht="12.75" customHeight="1" x14ac:dyDescent="0.2">
      <c r="A48" s="217">
        <v>100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218">
        <f>SUM(B48:O48)</f>
        <v>0</v>
      </c>
      <c r="Q48" s="316"/>
      <c r="R48" s="218">
        <f>P48-Q48</f>
        <v>0</v>
      </c>
    </row>
    <row r="49" spans="1:18" ht="12.75" customHeight="1" x14ac:dyDescent="0.2">
      <c r="A49" s="217">
        <v>125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218">
        <f t="shared" ref="P49:P57" si="6">SUM(B49:O49)</f>
        <v>0</v>
      </c>
      <c r="Q49" s="316"/>
      <c r="R49" s="218">
        <f t="shared" ref="R49:R57" si="7">P49-Q49</f>
        <v>0</v>
      </c>
    </row>
    <row r="50" spans="1:18" ht="12.75" customHeight="1" x14ac:dyDescent="0.2">
      <c r="A50" s="217">
        <v>160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218">
        <f t="shared" si="6"/>
        <v>0</v>
      </c>
      <c r="Q50" s="316"/>
      <c r="R50" s="218">
        <f t="shared" si="7"/>
        <v>0</v>
      </c>
    </row>
    <row r="51" spans="1:18" ht="12.75" customHeight="1" x14ac:dyDescent="0.2">
      <c r="A51" s="217">
        <v>200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218">
        <f t="shared" si="6"/>
        <v>0</v>
      </c>
      <c r="Q51" s="316"/>
      <c r="R51" s="218">
        <f t="shared" si="7"/>
        <v>0</v>
      </c>
    </row>
    <row r="52" spans="1:18" ht="12.75" customHeight="1" x14ac:dyDescent="0.2">
      <c r="A52" s="217">
        <v>250</v>
      </c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218">
        <f t="shared" si="6"/>
        <v>0</v>
      </c>
      <c r="Q52" s="316"/>
      <c r="R52" s="218">
        <f t="shared" si="7"/>
        <v>0</v>
      </c>
    </row>
    <row r="53" spans="1:18" ht="12.75" customHeight="1" x14ac:dyDescent="0.2">
      <c r="A53" s="217">
        <v>315</v>
      </c>
      <c r="B53" s="315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218">
        <f t="shared" si="6"/>
        <v>0</v>
      </c>
      <c r="Q53" s="316"/>
      <c r="R53" s="218">
        <f t="shared" si="7"/>
        <v>0</v>
      </c>
    </row>
    <row r="54" spans="1:18" ht="12.75" customHeight="1" x14ac:dyDescent="0.2">
      <c r="A54" s="217">
        <v>400</v>
      </c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218">
        <f t="shared" si="6"/>
        <v>0</v>
      </c>
      <c r="Q54" s="316"/>
      <c r="R54" s="218">
        <f t="shared" si="7"/>
        <v>0</v>
      </c>
    </row>
    <row r="55" spans="1:18" ht="12.75" customHeight="1" x14ac:dyDescent="0.2">
      <c r="A55" s="217">
        <v>500</v>
      </c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218">
        <f t="shared" si="6"/>
        <v>0</v>
      </c>
      <c r="Q55" s="316"/>
      <c r="R55" s="218">
        <f t="shared" si="7"/>
        <v>0</v>
      </c>
    </row>
    <row r="56" spans="1:18" ht="12.75" customHeight="1" x14ac:dyDescent="0.2">
      <c r="A56" s="217">
        <v>630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218">
        <f t="shared" si="6"/>
        <v>0</v>
      </c>
      <c r="Q56" s="316"/>
      <c r="R56" s="218">
        <f t="shared" si="7"/>
        <v>0</v>
      </c>
    </row>
    <row r="57" spans="1:18" ht="12.75" customHeight="1" x14ac:dyDescent="0.2">
      <c r="A57" s="217">
        <v>800</v>
      </c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218">
        <f t="shared" si="6"/>
        <v>0</v>
      </c>
      <c r="Q57" s="316"/>
      <c r="R57" s="218">
        <f t="shared" si="7"/>
        <v>0</v>
      </c>
    </row>
    <row r="58" spans="1:18" ht="12.75" customHeight="1" x14ac:dyDescent="0.2">
      <c r="A58" s="217">
        <v>1000</v>
      </c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218">
        <f>SUM(B58:O58)</f>
        <v>0</v>
      </c>
      <c r="Q58" s="316"/>
      <c r="R58" s="218">
        <f>P58-Q58</f>
        <v>0</v>
      </c>
    </row>
    <row r="59" spans="1:18" ht="12.75" customHeight="1" x14ac:dyDescent="0.2">
      <c r="A59" s="217">
        <v>1250</v>
      </c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218">
        <f t="shared" ref="P59:P64" si="8">SUM(B59:O59)</f>
        <v>0</v>
      </c>
      <c r="Q59" s="316"/>
      <c r="R59" s="218">
        <f t="shared" ref="R59:R64" si="9">P59-Q59</f>
        <v>0</v>
      </c>
    </row>
    <row r="60" spans="1:18" ht="12.75" customHeight="1" x14ac:dyDescent="0.2">
      <c r="A60" s="217">
        <v>1400</v>
      </c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218">
        <f t="shared" si="8"/>
        <v>0</v>
      </c>
      <c r="Q60" s="316"/>
      <c r="R60" s="218">
        <f t="shared" si="9"/>
        <v>0</v>
      </c>
    </row>
    <row r="61" spans="1:18" ht="12.75" customHeight="1" x14ac:dyDescent="0.2">
      <c r="A61" s="217">
        <v>1600</v>
      </c>
      <c r="B61" s="315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218">
        <f t="shared" si="8"/>
        <v>0</v>
      </c>
      <c r="Q61" s="316"/>
      <c r="R61" s="218">
        <f t="shared" si="9"/>
        <v>0</v>
      </c>
    </row>
    <row r="62" spans="1:18" ht="12.75" customHeight="1" x14ac:dyDescent="0.2">
      <c r="A62" s="217">
        <v>1800</v>
      </c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218">
        <f t="shared" si="8"/>
        <v>0</v>
      </c>
      <c r="Q62" s="316"/>
      <c r="R62" s="218">
        <f t="shared" si="9"/>
        <v>0</v>
      </c>
    </row>
    <row r="63" spans="1:18" ht="12.75" customHeight="1" x14ac:dyDescent="0.2">
      <c r="A63" s="217">
        <v>2000</v>
      </c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218">
        <f t="shared" si="8"/>
        <v>0</v>
      </c>
      <c r="Q63" s="316"/>
      <c r="R63" s="218">
        <f t="shared" si="9"/>
        <v>0</v>
      </c>
    </row>
    <row r="64" spans="1:18" ht="12.75" customHeight="1" x14ac:dyDescent="0.2">
      <c r="A64" s="217">
        <v>2400</v>
      </c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218">
        <f t="shared" si="8"/>
        <v>0</v>
      </c>
      <c r="Q64" s="316"/>
      <c r="R64" s="218">
        <f t="shared" si="9"/>
        <v>0</v>
      </c>
    </row>
    <row r="65" spans="1:18" ht="12.75" customHeight="1" x14ac:dyDescent="0.2"/>
    <row r="67" spans="1:18" ht="13.5" thickBot="1" x14ac:dyDescent="0.25">
      <c r="A67" s="134" t="s">
        <v>412</v>
      </c>
      <c r="B67" s="112"/>
      <c r="C67" s="219"/>
      <c r="D67" s="112"/>
      <c r="E67" s="219"/>
      <c r="N67" s="327" t="s">
        <v>221</v>
      </c>
      <c r="P67" s="325" t="s">
        <v>286</v>
      </c>
    </row>
    <row r="69" spans="1:18" x14ac:dyDescent="0.2">
      <c r="A69" s="136"/>
      <c r="B69" s="136" t="s">
        <v>239</v>
      </c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R69" s="136"/>
    </row>
    <row r="70" spans="1:18" x14ac:dyDescent="0.2">
      <c r="A70" s="216" t="s">
        <v>260</v>
      </c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16" t="s">
        <v>240</v>
      </c>
      <c r="Q70" s="216" t="s">
        <v>241</v>
      </c>
      <c r="R70" s="216" t="s">
        <v>242</v>
      </c>
    </row>
    <row r="71" spans="1:18" x14ac:dyDescent="0.2">
      <c r="A71" s="217">
        <v>100</v>
      </c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218">
        <f>SUM(B71:O71)</f>
        <v>0</v>
      </c>
      <c r="Q71" s="316"/>
      <c r="R71" s="218">
        <f>P71-Q71</f>
        <v>0</v>
      </c>
    </row>
    <row r="72" spans="1:18" x14ac:dyDescent="0.2">
      <c r="A72" s="217">
        <v>125</v>
      </c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218">
        <f t="shared" ref="P72:P77" si="10">SUM(B72:O72)</f>
        <v>0</v>
      </c>
      <c r="Q72" s="316"/>
      <c r="R72" s="218">
        <f t="shared" ref="R72:R77" si="11">P72-Q72</f>
        <v>0</v>
      </c>
    </row>
    <row r="73" spans="1:18" x14ac:dyDescent="0.2">
      <c r="A73" s="217">
        <v>160</v>
      </c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218">
        <f t="shared" si="10"/>
        <v>0</v>
      </c>
      <c r="Q73" s="316"/>
      <c r="R73" s="218">
        <f t="shared" si="11"/>
        <v>0</v>
      </c>
    </row>
    <row r="74" spans="1:18" x14ac:dyDescent="0.2">
      <c r="A74" s="217">
        <v>200</v>
      </c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218">
        <f t="shared" si="10"/>
        <v>0</v>
      </c>
      <c r="Q74" s="316"/>
      <c r="R74" s="218">
        <f t="shared" si="11"/>
        <v>0</v>
      </c>
    </row>
    <row r="75" spans="1:18" x14ac:dyDescent="0.2">
      <c r="A75" s="217">
        <v>250</v>
      </c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218">
        <f t="shared" si="10"/>
        <v>0</v>
      </c>
      <c r="Q75" s="316"/>
      <c r="R75" s="218">
        <f t="shared" si="11"/>
        <v>0</v>
      </c>
    </row>
    <row r="76" spans="1:18" x14ac:dyDescent="0.2">
      <c r="A76" s="217">
        <v>315</v>
      </c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218">
        <f t="shared" si="10"/>
        <v>0</v>
      </c>
      <c r="Q76" s="316"/>
      <c r="R76" s="218">
        <f t="shared" si="11"/>
        <v>0</v>
      </c>
    </row>
    <row r="77" spans="1:18" x14ac:dyDescent="0.2">
      <c r="A77" s="217">
        <v>400</v>
      </c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218">
        <f t="shared" si="10"/>
        <v>0</v>
      </c>
      <c r="Q77" s="316"/>
      <c r="R77" s="218">
        <f t="shared" si="11"/>
        <v>0</v>
      </c>
    </row>
    <row r="78" spans="1:18" x14ac:dyDescent="0.2">
      <c r="A78" s="271">
        <v>500</v>
      </c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218">
        <f>SUM(B78:O78)</f>
        <v>0</v>
      </c>
      <c r="Q78" s="316"/>
      <c r="R78" s="218">
        <f>P78-Q78</f>
        <v>0</v>
      </c>
    </row>
    <row r="79" spans="1:18" x14ac:dyDescent="0.2">
      <c r="A79" s="271">
        <v>630</v>
      </c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218">
        <f>SUM(B79:O79)</f>
        <v>0</v>
      </c>
      <c r="Q79" s="316"/>
      <c r="R79" s="218">
        <f>P79-Q79</f>
        <v>0</v>
      </c>
    </row>
    <row r="80" spans="1:18" x14ac:dyDescent="0.2">
      <c r="A80" s="271">
        <v>800</v>
      </c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218">
        <f>SUM(B80:O80)</f>
        <v>0</v>
      </c>
      <c r="Q80" s="316"/>
      <c r="R80" s="218">
        <f>P80-Q80</f>
        <v>0</v>
      </c>
    </row>
    <row r="81" spans="1:18" x14ac:dyDescent="0.2">
      <c r="A81" s="271">
        <v>1000</v>
      </c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218">
        <f>SUM(B81:O81)</f>
        <v>0</v>
      </c>
      <c r="Q81" s="316"/>
      <c r="R81" s="218">
        <f>P81-Q81</f>
        <v>0</v>
      </c>
    </row>
    <row r="82" spans="1:18" x14ac:dyDescent="0.2">
      <c r="A82" s="271">
        <v>1250</v>
      </c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218">
        <f>SUM(B82:O82)</f>
        <v>0</v>
      </c>
      <c r="Q82" s="316"/>
      <c r="R82" s="218">
        <f>P82-Q82</f>
        <v>0</v>
      </c>
    </row>
    <row r="83" spans="1:18" x14ac:dyDescent="0.2">
      <c r="C83" s="109"/>
      <c r="E83" s="109"/>
      <c r="Q83" s="109"/>
    </row>
    <row r="84" spans="1:18" x14ac:dyDescent="0.2">
      <c r="N84" s="300"/>
      <c r="P84" s="300"/>
    </row>
    <row r="85" spans="1:18" ht="13.5" thickBot="1" x14ac:dyDescent="0.25">
      <c r="A85" s="134" t="s">
        <v>386</v>
      </c>
      <c r="B85" s="112"/>
      <c r="C85" s="219"/>
      <c r="D85" s="112"/>
      <c r="E85" s="219"/>
      <c r="F85" s="112"/>
      <c r="G85" s="112"/>
      <c r="H85" s="112"/>
      <c r="I85" s="112"/>
      <c r="J85" s="112"/>
    </row>
    <row r="87" spans="1:18" x14ac:dyDescent="0.2">
      <c r="A87" s="136"/>
      <c r="B87" s="136" t="s">
        <v>239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R87" s="136"/>
    </row>
    <row r="88" spans="1:18" x14ac:dyDescent="0.2">
      <c r="A88" s="216" t="s">
        <v>260</v>
      </c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16" t="s">
        <v>240</v>
      </c>
      <c r="Q88" s="216" t="s">
        <v>241</v>
      </c>
      <c r="R88" s="216" t="s">
        <v>242</v>
      </c>
    </row>
    <row r="89" spans="1:18" x14ac:dyDescent="0.2">
      <c r="A89" s="217">
        <v>100</v>
      </c>
      <c r="B89" s="315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218">
        <f>SUM(B89:O89)</f>
        <v>0</v>
      </c>
      <c r="Q89" s="316"/>
      <c r="R89" s="218">
        <f>P89-Q89</f>
        <v>0</v>
      </c>
    </row>
    <row r="90" spans="1:18" x14ac:dyDescent="0.2">
      <c r="A90" s="217">
        <v>125</v>
      </c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218">
        <f t="shared" ref="P90:P95" si="12">SUM(B90:O90)</f>
        <v>0</v>
      </c>
      <c r="Q90" s="316"/>
      <c r="R90" s="218">
        <f t="shared" ref="R90:R95" si="13">P90-Q90</f>
        <v>0</v>
      </c>
    </row>
    <row r="91" spans="1:18" x14ac:dyDescent="0.2">
      <c r="A91" s="217">
        <v>160</v>
      </c>
      <c r="B91" s="315"/>
      <c r="C91" s="315"/>
      <c r="D91" s="315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218">
        <f t="shared" si="12"/>
        <v>0</v>
      </c>
      <c r="Q91" s="316"/>
      <c r="R91" s="218">
        <f t="shared" si="13"/>
        <v>0</v>
      </c>
    </row>
    <row r="92" spans="1:18" x14ac:dyDescent="0.2">
      <c r="A92" s="217">
        <v>200</v>
      </c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218">
        <f t="shared" si="12"/>
        <v>0</v>
      </c>
      <c r="Q92" s="316"/>
      <c r="R92" s="218">
        <f t="shared" si="13"/>
        <v>0</v>
      </c>
    </row>
    <row r="93" spans="1:18" x14ac:dyDescent="0.2">
      <c r="A93" s="217">
        <v>250</v>
      </c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218">
        <f t="shared" si="12"/>
        <v>0</v>
      </c>
      <c r="Q93" s="316"/>
      <c r="R93" s="218">
        <f t="shared" si="13"/>
        <v>0</v>
      </c>
    </row>
    <row r="94" spans="1:18" x14ac:dyDescent="0.2">
      <c r="A94" s="217">
        <v>315</v>
      </c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218">
        <f t="shared" si="12"/>
        <v>0</v>
      </c>
      <c r="Q94" s="316"/>
      <c r="R94" s="218">
        <f t="shared" si="13"/>
        <v>0</v>
      </c>
    </row>
    <row r="95" spans="1:18" x14ac:dyDescent="0.2">
      <c r="A95" s="217">
        <v>400</v>
      </c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218">
        <f t="shared" si="12"/>
        <v>0</v>
      </c>
      <c r="Q95" s="316"/>
      <c r="R95" s="218">
        <f t="shared" si="13"/>
        <v>0</v>
      </c>
    </row>
    <row r="96" spans="1:18" x14ac:dyDescent="0.2">
      <c r="C96" s="109"/>
      <c r="E96" s="109"/>
      <c r="Q96" s="109"/>
    </row>
    <row r="97" spans="1:18" x14ac:dyDescent="0.2">
      <c r="C97" s="109"/>
      <c r="E97" s="109"/>
      <c r="Q97" s="109"/>
    </row>
    <row r="98" spans="1:18" ht="13.5" thickBot="1" x14ac:dyDescent="0.25">
      <c r="A98" s="134" t="s">
        <v>387</v>
      </c>
      <c r="B98" s="112"/>
      <c r="C98" s="219"/>
      <c r="D98" s="112"/>
      <c r="E98" s="219"/>
      <c r="F98" s="112"/>
      <c r="G98" s="112"/>
      <c r="H98" s="112"/>
      <c r="I98" s="112"/>
      <c r="J98" s="112"/>
    </row>
    <row r="100" spans="1:18" x14ac:dyDescent="0.2">
      <c r="A100" s="136"/>
      <c r="B100" s="136" t="s">
        <v>239</v>
      </c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R100" s="136"/>
    </row>
    <row r="101" spans="1:18" x14ac:dyDescent="0.2">
      <c r="A101" s="216" t="s">
        <v>260</v>
      </c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16" t="s">
        <v>240</v>
      </c>
      <c r="Q101" s="216" t="s">
        <v>241</v>
      </c>
      <c r="R101" s="216" t="s">
        <v>242</v>
      </c>
    </row>
    <row r="102" spans="1:18" x14ac:dyDescent="0.2">
      <c r="A102" s="217">
        <v>100</v>
      </c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218">
        <f>SUM(B102:O102)</f>
        <v>0</v>
      </c>
      <c r="Q102" s="316"/>
      <c r="R102" s="218">
        <f>P102-Q102</f>
        <v>0</v>
      </c>
    </row>
    <row r="103" spans="1:18" x14ac:dyDescent="0.2">
      <c r="A103" s="217">
        <v>125</v>
      </c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218">
        <f t="shared" ref="P103:P110" si="14">SUM(B103:O103)</f>
        <v>0</v>
      </c>
      <c r="Q103" s="316"/>
      <c r="R103" s="218">
        <f t="shared" ref="R103:R110" si="15">P103-Q103</f>
        <v>0</v>
      </c>
    </row>
    <row r="104" spans="1:18" x14ac:dyDescent="0.2">
      <c r="A104" s="217">
        <v>160</v>
      </c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218">
        <f t="shared" si="14"/>
        <v>0</v>
      </c>
      <c r="Q104" s="316"/>
      <c r="R104" s="218">
        <f t="shared" si="15"/>
        <v>0</v>
      </c>
    </row>
    <row r="105" spans="1:18" x14ac:dyDescent="0.2">
      <c r="A105" s="217">
        <v>200</v>
      </c>
      <c r="B105" s="31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218">
        <f t="shared" si="14"/>
        <v>0</v>
      </c>
      <c r="Q105" s="316"/>
      <c r="R105" s="218">
        <f t="shared" si="15"/>
        <v>0</v>
      </c>
    </row>
    <row r="106" spans="1:18" x14ac:dyDescent="0.2">
      <c r="A106" s="217">
        <v>250</v>
      </c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218">
        <f t="shared" si="14"/>
        <v>0</v>
      </c>
      <c r="Q106" s="316"/>
      <c r="R106" s="218">
        <f t="shared" si="15"/>
        <v>0</v>
      </c>
    </row>
    <row r="107" spans="1:18" x14ac:dyDescent="0.2">
      <c r="A107" s="217">
        <v>315</v>
      </c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218">
        <f t="shared" si="14"/>
        <v>0</v>
      </c>
      <c r="Q107" s="316"/>
      <c r="R107" s="218">
        <f t="shared" si="15"/>
        <v>0</v>
      </c>
    </row>
    <row r="108" spans="1:18" x14ac:dyDescent="0.2">
      <c r="A108" s="217">
        <v>400</v>
      </c>
      <c r="B108" s="315"/>
      <c r="C108" s="315"/>
      <c r="D108" s="315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315"/>
      <c r="P108" s="218">
        <f t="shared" si="14"/>
        <v>0</v>
      </c>
      <c r="Q108" s="316"/>
      <c r="R108" s="218">
        <f t="shared" si="15"/>
        <v>0</v>
      </c>
    </row>
    <row r="109" spans="1:18" x14ac:dyDescent="0.2">
      <c r="A109" s="217">
        <v>500</v>
      </c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  <c r="P109" s="218">
        <f t="shared" si="14"/>
        <v>0</v>
      </c>
      <c r="Q109" s="316"/>
      <c r="R109" s="218">
        <f t="shared" si="15"/>
        <v>0</v>
      </c>
    </row>
    <row r="110" spans="1:18" x14ac:dyDescent="0.2">
      <c r="A110" s="217">
        <v>630</v>
      </c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218">
        <f t="shared" si="14"/>
        <v>0</v>
      </c>
      <c r="Q110" s="316"/>
      <c r="R110" s="218">
        <f t="shared" si="15"/>
        <v>0</v>
      </c>
    </row>
    <row r="113" spans="1:18" ht="13.5" thickBot="1" x14ac:dyDescent="0.25">
      <c r="A113" s="134" t="s">
        <v>438</v>
      </c>
      <c r="B113" s="112"/>
      <c r="C113" s="219"/>
      <c r="D113" s="112"/>
      <c r="E113" s="219"/>
      <c r="F113" s="112"/>
      <c r="G113" s="112"/>
      <c r="H113" s="112"/>
    </row>
    <row r="115" spans="1:18" x14ac:dyDescent="0.2">
      <c r="A115" s="136"/>
      <c r="B115" s="136" t="s">
        <v>239</v>
      </c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R115" s="136"/>
    </row>
    <row r="116" spans="1:18" x14ac:dyDescent="0.2">
      <c r="A116" s="216" t="s">
        <v>260</v>
      </c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16" t="s">
        <v>240</v>
      </c>
      <c r="Q116" s="216" t="s">
        <v>241</v>
      </c>
      <c r="R116" s="216" t="s">
        <v>242</v>
      </c>
    </row>
    <row r="117" spans="1:18" x14ac:dyDescent="0.2">
      <c r="A117" s="217">
        <v>100</v>
      </c>
      <c r="B117" s="315"/>
      <c r="C117" s="315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218">
        <f>SUM(B117:O117)</f>
        <v>0</v>
      </c>
      <c r="Q117" s="316"/>
      <c r="R117" s="218">
        <f>P117-Q117</f>
        <v>0</v>
      </c>
    </row>
    <row r="118" spans="1:18" x14ac:dyDescent="0.2">
      <c r="A118" s="217">
        <v>125</v>
      </c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218">
        <f t="shared" ref="P118:P125" si="16">SUM(B118:O118)</f>
        <v>0</v>
      </c>
      <c r="Q118" s="316"/>
      <c r="R118" s="218">
        <f t="shared" ref="R118:R125" si="17">P118-Q118</f>
        <v>0</v>
      </c>
    </row>
    <row r="119" spans="1:18" x14ac:dyDescent="0.2">
      <c r="A119" s="217">
        <v>160</v>
      </c>
      <c r="B119" s="315"/>
      <c r="C119" s="315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  <c r="P119" s="218">
        <f t="shared" si="16"/>
        <v>0</v>
      </c>
      <c r="Q119" s="316"/>
      <c r="R119" s="218">
        <f t="shared" si="17"/>
        <v>0</v>
      </c>
    </row>
    <row r="120" spans="1:18" x14ac:dyDescent="0.2">
      <c r="A120" s="217">
        <v>200</v>
      </c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15"/>
      <c r="P120" s="218">
        <f t="shared" si="16"/>
        <v>0</v>
      </c>
      <c r="Q120" s="316"/>
      <c r="R120" s="218">
        <f t="shared" si="17"/>
        <v>0</v>
      </c>
    </row>
    <row r="121" spans="1:18" x14ac:dyDescent="0.2">
      <c r="A121" s="217">
        <v>250</v>
      </c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218">
        <f t="shared" si="16"/>
        <v>0</v>
      </c>
      <c r="Q121" s="316"/>
      <c r="R121" s="218">
        <f t="shared" si="17"/>
        <v>0</v>
      </c>
    </row>
    <row r="122" spans="1:18" x14ac:dyDescent="0.2">
      <c r="A122" s="217">
        <v>315</v>
      </c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  <c r="P122" s="218">
        <f t="shared" si="16"/>
        <v>0</v>
      </c>
      <c r="Q122" s="316"/>
      <c r="R122" s="218">
        <f t="shared" si="17"/>
        <v>0</v>
      </c>
    </row>
    <row r="123" spans="1:18" x14ac:dyDescent="0.2">
      <c r="A123" s="217">
        <v>400</v>
      </c>
      <c r="B123" s="315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15"/>
      <c r="P123" s="218">
        <f t="shared" si="16"/>
        <v>0</v>
      </c>
      <c r="Q123" s="316"/>
      <c r="R123" s="218">
        <f t="shared" si="17"/>
        <v>0</v>
      </c>
    </row>
    <row r="124" spans="1:18" x14ac:dyDescent="0.2">
      <c r="A124" s="217">
        <v>500</v>
      </c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218">
        <f t="shared" si="16"/>
        <v>0</v>
      </c>
      <c r="Q124" s="316"/>
      <c r="R124" s="218">
        <f t="shared" si="17"/>
        <v>0</v>
      </c>
    </row>
    <row r="125" spans="1:18" x14ac:dyDescent="0.2">
      <c r="A125" s="217">
        <v>630</v>
      </c>
      <c r="B125" s="315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  <c r="P125" s="218">
        <f t="shared" si="16"/>
        <v>0</v>
      </c>
      <c r="Q125" s="316"/>
      <c r="R125" s="218">
        <f t="shared" si="17"/>
        <v>0</v>
      </c>
    </row>
  </sheetData>
  <sheetProtection algorithmName="SHA-512" hashValue="xx99ENhawNTB1hCh3P8XRKWy/XW0kUsgMhwfJc8YfodYnZNU6F87U94tnwyHzmoH7+AUt0u16alaNEmQ8OHJ9A==" saltValue="Y6MMbwKwIxj1XvvQ3tksmQ==" spinCount="100000" sheet="1"/>
  <phoneticPr fontId="0" type="noConversion"/>
  <hyperlinks>
    <hyperlink ref="N25" location="Etusivu!A1" tooltip="Tästä pääset etusivulle" display="Etusivu" xr:uid="{00000000-0004-0000-0300-000000000000}"/>
    <hyperlink ref="N67" location="Etusivu!A1" tooltip="Tästä pääset etusivulle" display="Etusivu" xr:uid="{00000000-0004-0000-0300-000001000000}"/>
    <hyperlink ref="P25" location="Etusivu!A392" tooltip="Tästä pääset laittamaan olosuhde/haittalisät" display="Haittalisä" xr:uid="{00000000-0004-0000-0300-000002000000}"/>
    <hyperlink ref="P67" location="Etusivu!A392" tooltip="Tästä pääset laittamaan olosuhde/haittalisät" display="Haittalisä" xr:uid="{00000000-0004-0000-0300-000003000000}"/>
  </hyperlinks>
  <pageMargins left="0.74803149606299213" right="0.74803149606299213" top="0.47244094488188981" bottom="0.47244094488188981" header="0.51181102362204722" footer="0.51181102362204722"/>
  <pageSetup paperSize="9" orientation="landscape" horizontalDpi="300" verticalDpi="300" r:id="rId1"/>
  <headerFooter alignWithMargins="0"/>
  <ignoredErrors>
    <ignoredError sqref="P6:P64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4"/>
  <sheetViews>
    <sheetView zoomScale="90" zoomScaleNormal="100" zoomScaleSheetLayoutView="75" workbookViewId="0">
      <selection activeCell="X23" sqref="X23"/>
    </sheetView>
  </sheetViews>
  <sheetFormatPr defaultColWidth="9.140625" defaultRowHeight="12.75" x14ac:dyDescent="0.2"/>
  <cols>
    <col min="1" max="1" width="9.28515625" style="109" customWidth="1"/>
    <col min="2" max="5" width="7.28515625" style="109" customWidth="1"/>
    <col min="6" max="6" width="9.140625" style="109" customWidth="1"/>
    <col min="7" max="8" width="7.28515625" style="109" customWidth="1"/>
    <col min="9" max="9" width="9.85546875" style="109" customWidth="1"/>
    <col min="10" max="15" width="7.28515625" style="109" customWidth="1"/>
    <col min="16" max="16" width="9.42578125" style="109" customWidth="1"/>
    <col min="17" max="21" width="7.28515625" style="109" customWidth="1"/>
    <col min="22" max="22" width="7.140625" style="109" customWidth="1"/>
    <col min="23" max="23" width="7.42578125" style="109" customWidth="1"/>
    <col min="24" max="27" width="7.28515625" style="109" customWidth="1"/>
    <col min="28" max="16384" width="9.140625" style="109"/>
  </cols>
  <sheetData>
    <row r="1" spans="1:17" ht="15.75" customHeight="1" x14ac:dyDescent="0.2"/>
    <row r="2" spans="1:17" ht="18" customHeight="1" x14ac:dyDescent="0.25">
      <c r="A2" s="137" t="s">
        <v>262</v>
      </c>
      <c r="C2" s="214"/>
      <c r="E2" s="214"/>
      <c r="J2" s="147"/>
      <c r="P2" s="136"/>
    </row>
    <row r="3" spans="1:17" ht="12.75" customHeight="1" x14ac:dyDescent="0.25">
      <c r="A3" s="137"/>
      <c r="C3" s="214"/>
      <c r="E3" s="214"/>
      <c r="J3" s="147"/>
      <c r="P3" s="136"/>
    </row>
    <row r="4" spans="1:17" ht="14.25" customHeight="1" thickBot="1" x14ac:dyDescent="0.25">
      <c r="A4" s="140" t="s">
        <v>263</v>
      </c>
      <c r="B4" s="112"/>
      <c r="C4" s="219"/>
      <c r="D4" s="112"/>
      <c r="E4" s="219"/>
      <c r="F4" s="112"/>
      <c r="J4" s="147"/>
      <c r="N4" s="326" t="s">
        <v>221</v>
      </c>
      <c r="P4" s="326" t="s">
        <v>286</v>
      </c>
    </row>
    <row r="5" spans="1:17" x14ac:dyDescent="0.2">
      <c r="C5" s="214"/>
      <c r="E5" s="214"/>
      <c r="J5" s="147"/>
      <c r="P5" s="136"/>
    </row>
    <row r="6" spans="1:17" x14ac:dyDescent="0.2">
      <c r="A6" s="136"/>
      <c r="B6" s="136" t="s">
        <v>239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x14ac:dyDescent="0.2">
      <c r="A7" s="216" t="s">
        <v>265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16" t="s">
        <v>240</v>
      </c>
      <c r="P7" s="216" t="s">
        <v>241</v>
      </c>
      <c r="Q7" s="216" t="s">
        <v>242</v>
      </c>
    </row>
    <row r="8" spans="1:17" x14ac:dyDescent="0.2">
      <c r="A8" s="223" t="s">
        <v>420</v>
      </c>
      <c r="B8" s="315" t="s">
        <v>67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218">
        <f t="shared" ref="O8:O13" si="0">SUM(B8:N8)</f>
        <v>0</v>
      </c>
      <c r="P8" s="316"/>
      <c r="Q8" s="218">
        <f t="shared" ref="Q8:Q13" si="1">O8-P8</f>
        <v>0</v>
      </c>
    </row>
    <row r="9" spans="1:17" x14ac:dyDescent="0.2">
      <c r="A9" s="223" t="s">
        <v>421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218">
        <f t="shared" si="0"/>
        <v>0</v>
      </c>
      <c r="P9" s="316"/>
      <c r="Q9" s="218">
        <f t="shared" si="1"/>
        <v>0</v>
      </c>
    </row>
    <row r="10" spans="1:17" x14ac:dyDescent="0.2">
      <c r="A10" s="223" t="s">
        <v>422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218">
        <f t="shared" si="0"/>
        <v>0</v>
      </c>
      <c r="P10" s="316"/>
      <c r="Q10" s="218">
        <f t="shared" si="1"/>
        <v>0</v>
      </c>
    </row>
    <row r="11" spans="1:17" x14ac:dyDescent="0.2">
      <c r="A11" s="223" t="s">
        <v>423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218">
        <f t="shared" si="0"/>
        <v>0</v>
      </c>
      <c r="P11" s="316"/>
      <c r="Q11" s="218">
        <f t="shared" si="1"/>
        <v>0</v>
      </c>
    </row>
    <row r="12" spans="1:17" x14ac:dyDescent="0.2">
      <c r="A12" s="223" t="s">
        <v>529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218">
        <f t="shared" si="0"/>
        <v>0</v>
      </c>
      <c r="P12" s="316"/>
      <c r="Q12" s="218">
        <f t="shared" si="1"/>
        <v>0</v>
      </c>
    </row>
    <row r="13" spans="1:17" x14ac:dyDescent="0.2">
      <c r="A13" s="223" t="s">
        <v>130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218">
        <f t="shared" si="0"/>
        <v>0</v>
      </c>
      <c r="P13" s="316"/>
      <c r="Q13" s="218">
        <f t="shared" si="1"/>
        <v>0</v>
      </c>
    </row>
    <row r="15" spans="1:17" ht="11.25" customHeight="1" x14ac:dyDescent="0.2"/>
    <row r="16" spans="1:17" ht="13.5" thickBot="1" x14ac:dyDescent="0.25">
      <c r="A16" s="140" t="s">
        <v>264</v>
      </c>
      <c r="B16" s="112"/>
      <c r="C16" s="219"/>
      <c r="D16" s="112"/>
      <c r="E16" s="219"/>
      <c r="F16" s="161"/>
      <c r="P16" s="136"/>
    </row>
    <row r="17" spans="1:17" ht="12.75" customHeight="1" x14ac:dyDescent="0.2">
      <c r="C17" s="214"/>
      <c r="E17" s="214"/>
      <c r="P17" s="136"/>
    </row>
    <row r="18" spans="1:17" x14ac:dyDescent="0.2">
      <c r="A18" s="136"/>
      <c r="B18" s="136" t="s">
        <v>239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12.75" customHeight="1" x14ac:dyDescent="0.2">
      <c r="A19" s="216" t="s">
        <v>265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16" t="s">
        <v>240</v>
      </c>
      <c r="P19" s="216" t="s">
        <v>241</v>
      </c>
      <c r="Q19" s="216" t="s">
        <v>242</v>
      </c>
    </row>
    <row r="20" spans="1:17" x14ac:dyDescent="0.2">
      <c r="A20" s="223" t="s">
        <v>420</v>
      </c>
      <c r="B20" s="315" t="s">
        <v>67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218">
        <f t="shared" ref="O20:O25" si="2">SUM(B20:N20)</f>
        <v>0</v>
      </c>
      <c r="P20" s="316"/>
      <c r="Q20" s="218">
        <f t="shared" ref="Q20:Q25" si="3">O20-P20</f>
        <v>0</v>
      </c>
    </row>
    <row r="21" spans="1:17" ht="12.75" customHeight="1" x14ac:dyDescent="0.2">
      <c r="A21" s="223" t="s">
        <v>421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218">
        <f t="shared" si="2"/>
        <v>0</v>
      </c>
      <c r="P21" s="316"/>
      <c r="Q21" s="218">
        <f t="shared" si="3"/>
        <v>0</v>
      </c>
    </row>
    <row r="22" spans="1:17" x14ac:dyDescent="0.2">
      <c r="A22" s="223" t="s">
        <v>422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218">
        <f t="shared" si="2"/>
        <v>0</v>
      </c>
      <c r="P22" s="316"/>
      <c r="Q22" s="218">
        <f t="shared" si="3"/>
        <v>0</v>
      </c>
    </row>
    <row r="23" spans="1:17" x14ac:dyDescent="0.2">
      <c r="A23" s="223" t="s">
        <v>423</v>
      </c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218">
        <f t="shared" si="2"/>
        <v>0</v>
      </c>
      <c r="P23" s="316"/>
      <c r="Q23" s="218">
        <f t="shared" si="3"/>
        <v>0</v>
      </c>
    </row>
    <row r="24" spans="1:17" x14ac:dyDescent="0.2">
      <c r="A24" s="223" t="s">
        <v>529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218">
        <f t="shared" si="2"/>
        <v>0</v>
      </c>
      <c r="P24" s="316"/>
      <c r="Q24" s="218">
        <f t="shared" si="3"/>
        <v>0</v>
      </c>
    </row>
    <row r="25" spans="1:17" x14ac:dyDescent="0.2">
      <c r="A25" s="223" t="s">
        <v>130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218">
        <f t="shared" si="2"/>
        <v>0</v>
      </c>
      <c r="P25" s="316"/>
      <c r="Q25" s="223">
        <f t="shared" si="3"/>
        <v>0</v>
      </c>
    </row>
    <row r="28" spans="1:17" ht="12.75" customHeight="1" thickBot="1" x14ac:dyDescent="0.25">
      <c r="A28" s="140" t="s">
        <v>266</v>
      </c>
      <c r="B28" s="112"/>
      <c r="C28" s="219"/>
      <c r="D28" s="112"/>
      <c r="E28" s="219"/>
      <c r="F28" s="112"/>
      <c r="G28" s="112"/>
      <c r="H28" s="112"/>
      <c r="I28" s="112"/>
      <c r="J28" s="112"/>
      <c r="K28" s="112"/>
      <c r="L28" s="112"/>
      <c r="M28" s="135"/>
      <c r="N28" s="112"/>
      <c r="O28" s="112"/>
      <c r="P28" s="112"/>
    </row>
    <row r="29" spans="1:17" ht="13.5" customHeight="1" x14ac:dyDescent="0.2">
      <c r="A29" s="161"/>
      <c r="C29" s="214"/>
      <c r="E29" s="214"/>
      <c r="M29" s="136"/>
    </row>
    <row r="30" spans="1:17" x14ac:dyDescent="0.2">
      <c r="A30" s="161"/>
      <c r="C30" s="214"/>
      <c r="E30" s="214"/>
      <c r="M30" s="136"/>
    </row>
    <row r="31" spans="1:17" ht="13.5" thickBot="1" x14ac:dyDescent="0.25">
      <c r="A31" s="161"/>
      <c r="B31" s="140" t="s">
        <v>409</v>
      </c>
      <c r="C31" s="224"/>
      <c r="D31" s="140"/>
      <c r="E31" s="214"/>
      <c r="I31" s="161"/>
      <c r="J31" s="140" t="s">
        <v>267</v>
      </c>
      <c r="K31" s="224"/>
      <c r="M31" s="214"/>
      <c r="N31" s="326" t="s">
        <v>221</v>
      </c>
      <c r="P31" s="326" t="s">
        <v>286</v>
      </c>
    </row>
    <row r="32" spans="1:17" x14ac:dyDescent="0.2">
      <c r="A32" s="136"/>
      <c r="B32" s="136" t="s">
        <v>239</v>
      </c>
      <c r="C32" s="136"/>
      <c r="D32" s="136"/>
      <c r="E32" s="136"/>
      <c r="G32" s="136"/>
      <c r="H32" s="136"/>
      <c r="I32" s="136"/>
      <c r="J32" s="136" t="s">
        <v>239</v>
      </c>
      <c r="K32" s="136"/>
      <c r="L32" s="136"/>
      <c r="M32" s="136"/>
      <c r="O32" s="136"/>
      <c r="P32" s="136"/>
    </row>
    <row r="33" spans="1:15" x14ac:dyDescent="0.2">
      <c r="A33" s="216" t="s">
        <v>265</v>
      </c>
      <c r="B33" s="220"/>
      <c r="C33" s="220"/>
      <c r="D33" s="220"/>
      <c r="E33" s="220"/>
      <c r="F33" s="220"/>
      <c r="G33" s="216" t="s">
        <v>240</v>
      </c>
      <c r="H33" s="136"/>
      <c r="I33" s="216" t="s">
        <v>265</v>
      </c>
      <c r="J33" s="220"/>
      <c r="K33" s="220"/>
      <c r="L33" s="220"/>
      <c r="M33" s="220"/>
      <c r="N33" s="220"/>
      <c r="O33" s="216" t="s">
        <v>240</v>
      </c>
    </row>
    <row r="34" spans="1:15" x14ac:dyDescent="0.2">
      <c r="A34" s="223" t="s">
        <v>420</v>
      </c>
      <c r="B34" s="315" t="s">
        <v>67</v>
      </c>
      <c r="C34" s="315"/>
      <c r="D34" s="315"/>
      <c r="E34" s="315"/>
      <c r="F34" s="315"/>
      <c r="G34" s="218">
        <f t="shared" ref="G34:G39" si="4">SUM(B34:F34)</f>
        <v>0</v>
      </c>
      <c r="H34" s="132"/>
      <c r="I34" s="223" t="s">
        <v>420</v>
      </c>
      <c r="J34" s="315" t="s">
        <v>67</v>
      </c>
      <c r="K34" s="315"/>
      <c r="L34" s="315"/>
      <c r="M34" s="315"/>
      <c r="N34" s="315"/>
      <c r="O34" s="218">
        <f t="shared" ref="O34:O39" si="5">SUM(J34:N34)</f>
        <v>0</v>
      </c>
    </row>
    <row r="35" spans="1:15" x14ac:dyDescent="0.2">
      <c r="A35" s="223" t="s">
        <v>421</v>
      </c>
      <c r="B35" s="315" t="s">
        <v>67</v>
      </c>
      <c r="C35" s="315"/>
      <c r="D35" s="315"/>
      <c r="E35" s="315"/>
      <c r="F35" s="315"/>
      <c r="G35" s="223">
        <f t="shared" si="4"/>
        <v>0</v>
      </c>
      <c r="H35" s="225"/>
      <c r="I35" s="223" t="s">
        <v>421</v>
      </c>
      <c r="J35" s="315"/>
      <c r="K35" s="315"/>
      <c r="L35" s="315"/>
      <c r="M35" s="315"/>
      <c r="N35" s="315"/>
      <c r="O35" s="223">
        <f t="shared" si="5"/>
        <v>0</v>
      </c>
    </row>
    <row r="36" spans="1:15" ht="12" customHeight="1" x14ac:dyDescent="0.2">
      <c r="A36" s="223" t="s">
        <v>422</v>
      </c>
      <c r="B36" s="315"/>
      <c r="C36" s="315"/>
      <c r="D36" s="315"/>
      <c r="E36" s="315"/>
      <c r="F36" s="315"/>
      <c r="G36" s="218">
        <f t="shared" si="4"/>
        <v>0</v>
      </c>
      <c r="H36" s="132"/>
      <c r="I36" s="223" t="s">
        <v>422</v>
      </c>
      <c r="J36" s="315"/>
      <c r="K36" s="315"/>
      <c r="L36" s="315"/>
      <c r="M36" s="315"/>
      <c r="N36" s="315"/>
      <c r="O36" s="218">
        <f t="shared" si="5"/>
        <v>0</v>
      </c>
    </row>
    <row r="37" spans="1:15" x14ac:dyDescent="0.2">
      <c r="A37" s="223" t="s">
        <v>423</v>
      </c>
      <c r="B37" s="315"/>
      <c r="C37" s="315"/>
      <c r="D37" s="315"/>
      <c r="E37" s="315"/>
      <c r="F37" s="315"/>
      <c r="G37" s="223">
        <f t="shared" si="4"/>
        <v>0</v>
      </c>
      <c r="H37" s="225"/>
      <c r="I37" s="223" t="s">
        <v>423</v>
      </c>
      <c r="J37" s="315"/>
      <c r="K37" s="315"/>
      <c r="L37" s="315"/>
      <c r="M37" s="315"/>
      <c r="N37" s="315"/>
      <c r="O37" s="223">
        <f t="shared" si="5"/>
        <v>0</v>
      </c>
    </row>
    <row r="38" spans="1:15" x14ac:dyDescent="0.2">
      <c r="A38" s="223" t="s">
        <v>529</v>
      </c>
      <c r="B38" s="315"/>
      <c r="C38" s="315"/>
      <c r="D38" s="315"/>
      <c r="E38" s="315"/>
      <c r="F38" s="315"/>
      <c r="G38" s="218">
        <f t="shared" si="4"/>
        <v>0</v>
      </c>
      <c r="I38" s="223" t="s">
        <v>529</v>
      </c>
      <c r="J38" s="315"/>
      <c r="K38" s="315"/>
      <c r="L38" s="315"/>
      <c r="M38" s="315"/>
      <c r="N38" s="315"/>
      <c r="O38" s="218">
        <f t="shared" si="5"/>
        <v>0</v>
      </c>
    </row>
    <row r="39" spans="1:15" x14ac:dyDescent="0.2">
      <c r="A39" s="223" t="s">
        <v>130</v>
      </c>
      <c r="B39" s="315"/>
      <c r="C39" s="315"/>
      <c r="D39" s="315"/>
      <c r="E39" s="315"/>
      <c r="F39" s="315"/>
      <c r="G39" s="223">
        <f t="shared" si="4"/>
        <v>0</v>
      </c>
      <c r="I39" s="223" t="s">
        <v>130</v>
      </c>
      <c r="J39" s="315"/>
      <c r="K39" s="315"/>
      <c r="L39" s="315"/>
      <c r="M39" s="315"/>
      <c r="N39" s="315"/>
      <c r="O39" s="223">
        <f t="shared" si="5"/>
        <v>0</v>
      </c>
    </row>
    <row r="42" spans="1:15" ht="13.5" thickBot="1" x14ac:dyDescent="0.25">
      <c r="A42" s="161"/>
      <c r="B42" s="140" t="s">
        <v>268</v>
      </c>
      <c r="C42" s="224"/>
      <c r="D42" s="140"/>
      <c r="E42" s="214"/>
      <c r="I42" s="161"/>
      <c r="J42" s="140" t="s">
        <v>269</v>
      </c>
      <c r="K42" s="224"/>
      <c r="L42" s="161"/>
      <c r="M42" s="214"/>
    </row>
    <row r="43" spans="1:15" x14ac:dyDescent="0.2">
      <c r="A43" s="136"/>
      <c r="B43" s="136" t="s">
        <v>239</v>
      </c>
      <c r="C43" s="136"/>
      <c r="D43" s="136"/>
      <c r="E43" s="136"/>
      <c r="G43" s="136"/>
      <c r="I43" s="136"/>
      <c r="J43" s="136" t="s">
        <v>239</v>
      </c>
      <c r="K43" s="136"/>
      <c r="L43" s="136"/>
      <c r="M43" s="136"/>
      <c r="O43" s="136"/>
    </row>
    <row r="44" spans="1:15" x14ac:dyDescent="0.2">
      <c r="A44" s="216" t="s">
        <v>265</v>
      </c>
      <c r="B44" s="220"/>
      <c r="C44" s="220"/>
      <c r="D44" s="220"/>
      <c r="E44" s="220"/>
      <c r="F44" s="220"/>
      <c r="G44" s="216" t="s">
        <v>240</v>
      </c>
      <c r="I44" s="216" t="s">
        <v>265</v>
      </c>
      <c r="J44" s="220"/>
      <c r="K44" s="220"/>
      <c r="L44" s="220"/>
      <c r="M44" s="220"/>
      <c r="N44" s="220"/>
      <c r="O44" s="216" t="s">
        <v>240</v>
      </c>
    </row>
    <row r="45" spans="1:15" x14ac:dyDescent="0.2">
      <c r="A45" s="223" t="s">
        <v>420</v>
      </c>
      <c r="B45" s="315" t="s">
        <v>67</v>
      </c>
      <c r="C45" s="315"/>
      <c r="D45" s="315"/>
      <c r="E45" s="315"/>
      <c r="F45" s="315"/>
      <c r="G45" s="218">
        <f t="shared" ref="G45:G50" si="6">SUM(B45:F45)</f>
        <v>0</v>
      </c>
      <c r="I45" s="223" t="s">
        <v>420</v>
      </c>
      <c r="J45" s="315" t="s">
        <v>67</v>
      </c>
      <c r="K45" s="315"/>
      <c r="L45" s="315"/>
      <c r="M45" s="315"/>
      <c r="N45" s="315"/>
      <c r="O45" s="218">
        <f t="shared" ref="O45:O50" si="7">SUM(J45:N45)</f>
        <v>0</v>
      </c>
    </row>
    <row r="46" spans="1:15" x14ac:dyDescent="0.2">
      <c r="A46" s="223" t="s">
        <v>421</v>
      </c>
      <c r="B46" s="315"/>
      <c r="C46" s="315"/>
      <c r="D46" s="315"/>
      <c r="E46" s="315"/>
      <c r="F46" s="315"/>
      <c r="G46" s="223">
        <f t="shared" si="6"/>
        <v>0</v>
      </c>
      <c r="I46" s="223" t="s">
        <v>421</v>
      </c>
      <c r="J46" s="315"/>
      <c r="K46" s="315"/>
      <c r="L46" s="315"/>
      <c r="M46" s="315"/>
      <c r="N46" s="315"/>
      <c r="O46" s="223">
        <f t="shared" si="7"/>
        <v>0</v>
      </c>
    </row>
    <row r="47" spans="1:15" x14ac:dyDescent="0.2">
      <c r="A47" s="223" t="s">
        <v>422</v>
      </c>
      <c r="B47" s="315"/>
      <c r="C47" s="315"/>
      <c r="D47" s="315"/>
      <c r="E47" s="315"/>
      <c r="F47" s="315"/>
      <c r="G47" s="218">
        <f t="shared" si="6"/>
        <v>0</v>
      </c>
      <c r="I47" s="223" t="s">
        <v>422</v>
      </c>
      <c r="J47" s="315"/>
      <c r="K47" s="315"/>
      <c r="L47" s="315"/>
      <c r="M47" s="315"/>
      <c r="N47" s="315"/>
      <c r="O47" s="218">
        <f t="shared" si="7"/>
        <v>0</v>
      </c>
    </row>
    <row r="48" spans="1:15" x14ac:dyDescent="0.2">
      <c r="A48" s="223" t="s">
        <v>423</v>
      </c>
      <c r="B48" s="315"/>
      <c r="C48" s="315"/>
      <c r="D48" s="315"/>
      <c r="E48" s="315"/>
      <c r="F48" s="315"/>
      <c r="G48" s="223">
        <f t="shared" si="6"/>
        <v>0</v>
      </c>
      <c r="I48" s="223" t="s">
        <v>423</v>
      </c>
      <c r="J48" s="315"/>
      <c r="K48" s="315"/>
      <c r="L48" s="315"/>
      <c r="M48" s="315"/>
      <c r="N48" s="315"/>
      <c r="O48" s="223">
        <f t="shared" si="7"/>
        <v>0</v>
      </c>
    </row>
    <row r="49" spans="1:15" x14ac:dyDescent="0.2">
      <c r="A49" s="223" t="s">
        <v>529</v>
      </c>
      <c r="B49" s="315"/>
      <c r="C49" s="315"/>
      <c r="D49" s="315"/>
      <c r="E49" s="315"/>
      <c r="F49" s="315"/>
      <c r="G49" s="218">
        <f t="shared" si="6"/>
        <v>0</v>
      </c>
      <c r="I49" s="223" t="s">
        <v>529</v>
      </c>
      <c r="J49" s="315"/>
      <c r="K49" s="315"/>
      <c r="L49" s="315"/>
      <c r="M49" s="315"/>
      <c r="N49" s="315"/>
      <c r="O49" s="218">
        <f t="shared" si="7"/>
        <v>0</v>
      </c>
    </row>
    <row r="50" spans="1:15" x14ac:dyDescent="0.2">
      <c r="A50" s="223" t="s">
        <v>130</v>
      </c>
      <c r="B50" s="315"/>
      <c r="C50" s="315"/>
      <c r="D50" s="315"/>
      <c r="E50" s="315"/>
      <c r="F50" s="315"/>
      <c r="G50" s="223">
        <f t="shared" si="6"/>
        <v>0</v>
      </c>
      <c r="I50" s="223" t="s">
        <v>130</v>
      </c>
      <c r="J50" s="315"/>
      <c r="K50" s="315"/>
      <c r="L50" s="315"/>
      <c r="M50" s="315"/>
      <c r="N50" s="315"/>
      <c r="O50" s="223">
        <f t="shared" si="7"/>
        <v>0</v>
      </c>
    </row>
    <row r="54" spans="1:15" x14ac:dyDescent="0.2">
      <c r="A54" s="136"/>
      <c r="B54" s="136"/>
      <c r="C54" s="136"/>
    </row>
  </sheetData>
  <sheetProtection algorithmName="SHA-512" hashValue="G9rLlIv9tQxviuW1/1B1DngH19sbOQor0xrpRMBToIb1WWRe+Zml9tRE/nheyznENS1ODae31EeNpxJCz2e7VQ==" saltValue="KZsOT2318zff9Us6IvqqAQ==" spinCount="100000" sheet="1"/>
  <phoneticPr fontId="0" type="noConversion"/>
  <hyperlinks>
    <hyperlink ref="N4" location="Etusivu!A1" tooltip="Tästä pääset etusivulle" display="Etusivu" xr:uid="{00000000-0004-0000-0400-000000000000}"/>
    <hyperlink ref="N31" location="Etusivu!A1" tooltip="Tästä pääset etusivulle" display="Etusivu" xr:uid="{00000000-0004-0000-0400-000001000000}"/>
    <hyperlink ref="P4" location="Etusivu!A392" tooltip="Tästä pääset laittamaan olosuhde/haittalisät" display="Haittalisä" xr:uid="{00000000-0004-0000-0400-000002000000}"/>
    <hyperlink ref="P31" location="Etusivu!A392" tooltip="Tästä pääset laittamaan olosuhde/haittalisät" display="Haittalisä" xr:uid="{00000000-0004-0000-0400-000003000000}"/>
  </hyperlinks>
  <pageMargins left="0.43307086614173229" right="0.59055118110236227" top="0.51181102362204722" bottom="0.51181102362204722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9"/>
  <sheetViews>
    <sheetView workbookViewId="0">
      <selection activeCell="F16" sqref="F16"/>
    </sheetView>
  </sheetViews>
  <sheetFormatPr defaultColWidth="9.140625" defaultRowHeight="12.75" x14ac:dyDescent="0.2"/>
  <cols>
    <col min="1" max="1" width="9.28515625" style="109" customWidth="1"/>
    <col min="2" max="15" width="7.28515625" style="109" customWidth="1"/>
    <col min="16" max="16" width="9.28515625" style="109" customWidth="1"/>
    <col min="17" max="26" width="7.28515625" style="109" customWidth="1"/>
    <col min="27" max="16384" width="9.140625" style="109"/>
  </cols>
  <sheetData>
    <row r="1" spans="1:18" ht="19.5" customHeight="1" x14ac:dyDescent="0.2"/>
    <row r="2" spans="1:18" x14ac:dyDescent="0.2">
      <c r="N2" s="325" t="s">
        <v>221</v>
      </c>
      <c r="P2" s="325" t="s">
        <v>286</v>
      </c>
    </row>
    <row r="3" spans="1:18" ht="13.5" thickBot="1" x14ac:dyDescent="0.25">
      <c r="A3" s="140" t="s">
        <v>270</v>
      </c>
      <c r="B3" s="140"/>
      <c r="C3" s="140"/>
      <c r="D3" s="161"/>
    </row>
    <row r="4" spans="1:18" ht="15" customHeight="1" x14ac:dyDescent="0.2">
      <c r="D4" s="136"/>
      <c r="E4" s="136"/>
      <c r="F4" s="136" t="s">
        <v>239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</row>
    <row r="5" spans="1:18" ht="12.75" customHeight="1" x14ac:dyDescent="0.2">
      <c r="A5" s="226" t="s">
        <v>63</v>
      </c>
      <c r="B5" s="124"/>
      <c r="C5" s="124"/>
      <c r="D5" s="124"/>
      <c r="E5" s="130"/>
      <c r="F5" s="228"/>
      <c r="G5" s="220"/>
      <c r="H5" s="220"/>
      <c r="I5" s="220"/>
      <c r="J5" s="220"/>
      <c r="K5" s="220"/>
      <c r="L5" s="220"/>
      <c r="M5" s="220"/>
      <c r="N5" s="220"/>
      <c r="O5" s="216" t="s">
        <v>240</v>
      </c>
      <c r="P5" s="216" t="s">
        <v>241</v>
      </c>
      <c r="Q5" s="216" t="s">
        <v>242</v>
      </c>
    </row>
    <row r="6" spans="1:18" ht="12.75" customHeight="1" x14ac:dyDescent="0.2">
      <c r="A6" s="127" t="s">
        <v>271</v>
      </c>
      <c r="B6" s="128"/>
      <c r="C6" s="128"/>
      <c r="D6" s="128"/>
      <c r="E6" s="125"/>
      <c r="F6" s="317"/>
      <c r="G6" s="315"/>
      <c r="H6" s="315"/>
      <c r="I6" s="315"/>
      <c r="J6" s="315"/>
      <c r="K6" s="315"/>
      <c r="L6" s="315"/>
      <c r="M6" s="315"/>
      <c r="N6" s="315"/>
      <c r="O6" s="218">
        <f>SUM(B6:N6)</f>
        <v>0</v>
      </c>
      <c r="P6" s="316"/>
      <c r="Q6" s="218">
        <f t="shared" ref="Q6:Q15" si="0">O6-P6</f>
        <v>0</v>
      </c>
    </row>
    <row r="7" spans="1:18" ht="12.75" customHeight="1" x14ac:dyDescent="0.2">
      <c r="A7" s="482" t="s">
        <v>456</v>
      </c>
      <c r="B7" s="123"/>
      <c r="C7" s="123"/>
      <c r="D7" s="123"/>
      <c r="E7" s="129"/>
      <c r="F7" s="317"/>
      <c r="G7" s="315"/>
      <c r="H7" s="315"/>
      <c r="I7" s="315"/>
      <c r="J7" s="315"/>
      <c r="K7" s="315"/>
      <c r="L7" s="315"/>
      <c r="M7" s="315"/>
      <c r="N7" s="315"/>
      <c r="O7" s="218">
        <f t="shared" ref="O7:O15" si="1">SUM(B7:N7)</f>
        <v>0</v>
      </c>
      <c r="P7" s="316"/>
      <c r="Q7" s="218">
        <f t="shared" si="0"/>
        <v>0</v>
      </c>
    </row>
    <row r="8" spans="1:18" ht="12.75" customHeight="1" x14ac:dyDescent="0.2">
      <c r="A8" s="414" t="s">
        <v>455</v>
      </c>
      <c r="B8" s="128"/>
      <c r="C8" s="128"/>
      <c r="D8" s="128"/>
      <c r="E8" s="125"/>
      <c r="F8" s="317"/>
      <c r="G8" s="315"/>
      <c r="H8" s="315"/>
      <c r="I8" s="315"/>
      <c r="J8" s="315"/>
      <c r="K8" s="315"/>
      <c r="L8" s="315"/>
      <c r="M8" s="315"/>
      <c r="N8" s="315"/>
      <c r="O8" s="218">
        <f t="shared" si="1"/>
        <v>0</v>
      </c>
      <c r="P8" s="316"/>
      <c r="Q8" s="218">
        <f t="shared" si="0"/>
        <v>0</v>
      </c>
    </row>
    <row r="9" spans="1:18" ht="12.75" customHeight="1" x14ac:dyDescent="0.2">
      <c r="A9" s="757" t="s">
        <v>454</v>
      </c>
      <c r="B9" s="758"/>
      <c r="C9" s="758"/>
      <c r="D9" s="758"/>
      <c r="E9" s="759"/>
      <c r="F9" s="317"/>
      <c r="G9" s="315"/>
      <c r="H9" s="315"/>
      <c r="I9" s="315"/>
      <c r="J9" s="315"/>
      <c r="K9" s="315"/>
      <c r="L9" s="315"/>
      <c r="M9" s="315"/>
      <c r="N9" s="315"/>
      <c r="O9" s="218">
        <f t="shared" si="1"/>
        <v>0</v>
      </c>
      <c r="P9" s="316"/>
      <c r="Q9" s="218">
        <f t="shared" si="0"/>
        <v>0</v>
      </c>
    </row>
    <row r="10" spans="1:18" ht="12.75" customHeight="1" x14ac:dyDescent="0.2">
      <c r="A10" s="414" t="s">
        <v>74</v>
      </c>
      <c r="B10" s="128"/>
      <c r="C10" s="128"/>
      <c r="D10" s="128"/>
      <c r="E10" s="125"/>
      <c r="F10" s="317"/>
      <c r="G10" s="315"/>
      <c r="H10" s="315"/>
      <c r="I10" s="315"/>
      <c r="J10" s="315"/>
      <c r="K10" s="315"/>
      <c r="L10" s="315"/>
      <c r="M10" s="315"/>
      <c r="N10" s="315"/>
      <c r="O10" s="218">
        <f t="shared" si="1"/>
        <v>0</v>
      </c>
      <c r="P10" s="316"/>
      <c r="Q10" s="218">
        <f t="shared" si="0"/>
        <v>0</v>
      </c>
    </row>
    <row r="11" spans="1:18" ht="12.75" customHeight="1" x14ac:dyDescent="0.2">
      <c r="A11" s="414" t="s">
        <v>62</v>
      </c>
      <c r="B11" s="128"/>
      <c r="C11" s="128"/>
      <c r="D11" s="128"/>
      <c r="E11" s="125"/>
      <c r="F11" s="317"/>
      <c r="G11" s="315"/>
      <c r="H11" s="315"/>
      <c r="I11" s="315"/>
      <c r="J11" s="315"/>
      <c r="K11" s="315"/>
      <c r="L11" s="315"/>
      <c r="M11" s="315"/>
      <c r="N11" s="315"/>
      <c r="O11" s="218">
        <f t="shared" si="1"/>
        <v>0</v>
      </c>
      <c r="P11" s="316"/>
      <c r="Q11" s="218">
        <f t="shared" si="0"/>
        <v>0</v>
      </c>
    </row>
    <row r="12" spans="1:18" ht="13.5" customHeight="1" x14ac:dyDescent="0.2">
      <c r="A12" s="414" t="s">
        <v>457</v>
      </c>
      <c r="B12" s="128"/>
      <c r="C12" s="128"/>
      <c r="D12" s="128"/>
      <c r="E12" s="129"/>
      <c r="F12" s="317"/>
      <c r="G12" s="315"/>
      <c r="H12" s="315"/>
      <c r="I12" s="315"/>
      <c r="J12" s="315"/>
      <c r="K12" s="315"/>
      <c r="L12" s="315"/>
      <c r="M12" s="315"/>
      <c r="N12" s="315"/>
      <c r="O12" s="218">
        <f t="shared" si="1"/>
        <v>0</v>
      </c>
      <c r="P12" s="316"/>
      <c r="Q12" s="223">
        <f t="shared" si="0"/>
        <v>0</v>
      </c>
    </row>
    <row r="13" spans="1:18" x14ac:dyDescent="0.2">
      <c r="A13" s="415" t="s">
        <v>458</v>
      </c>
      <c r="B13" s="126"/>
      <c r="C13" s="126"/>
      <c r="D13" s="126"/>
      <c r="E13" s="129"/>
      <c r="F13" s="317"/>
      <c r="G13" s="315"/>
      <c r="H13" s="315"/>
      <c r="I13" s="315"/>
      <c r="J13" s="315"/>
      <c r="K13" s="315"/>
      <c r="L13" s="315"/>
      <c r="M13" s="315"/>
      <c r="N13" s="315"/>
      <c r="O13" s="218">
        <f t="shared" si="1"/>
        <v>0</v>
      </c>
      <c r="P13" s="316"/>
      <c r="Q13" s="218">
        <f t="shared" si="0"/>
        <v>0</v>
      </c>
    </row>
    <row r="14" spans="1:18" x14ac:dyDescent="0.2">
      <c r="A14" s="414" t="s">
        <v>396</v>
      </c>
      <c r="B14" s="128"/>
      <c r="C14" s="128"/>
      <c r="D14" s="128"/>
      <c r="E14" s="129"/>
      <c r="F14" s="315"/>
      <c r="G14" s="315"/>
      <c r="H14" s="315"/>
      <c r="I14" s="315"/>
      <c r="J14" s="315"/>
      <c r="K14" s="315"/>
      <c r="L14" s="315"/>
      <c r="M14" s="315"/>
      <c r="N14" s="315"/>
      <c r="O14" s="218">
        <f t="shared" si="1"/>
        <v>0</v>
      </c>
      <c r="P14" s="316"/>
      <c r="Q14" s="218">
        <f t="shared" si="0"/>
        <v>0</v>
      </c>
    </row>
    <row r="15" spans="1:18" x14ac:dyDescent="0.2">
      <c r="A15" s="415" t="s">
        <v>397</v>
      </c>
      <c r="B15" s="126"/>
      <c r="C15" s="126"/>
      <c r="D15" s="126"/>
      <c r="E15" s="413"/>
      <c r="F15" s="315"/>
      <c r="G15" s="315"/>
      <c r="H15" s="315"/>
      <c r="I15" s="315"/>
      <c r="J15" s="315"/>
      <c r="K15" s="315"/>
      <c r="L15" s="315"/>
      <c r="M15" s="315"/>
      <c r="N15" s="315"/>
      <c r="O15" s="218">
        <f t="shared" si="1"/>
        <v>0</v>
      </c>
      <c r="P15" s="316"/>
      <c r="Q15" s="218">
        <f t="shared" si="0"/>
        <v>0</v>
      </c>
    </row>
    <row r="16" spans="1:18" ht="15" customHeight="1" x14ac:dyDescent="0.2"/>
    <row r="17" spans="1:17" ht="15" customHeight="1" x14ac:dyDescent="0.2"/>
    <row r="18" spans="1:17" ht="12.75" customHeight="1" thickBot="1" x14ac:dyDescent="0.25">
      <c r="A18" s="140" t="s">
        <v>483</v>
      </c>
      <c r="B18" s="112"/>
      <c r="C18" s="219"/>
      <c r="D18" s="112"/>
      <c r="E18" s="219"/>
      <c r="F18" s="112"/>
      <c r="G18" s="112"/>
      <c r="K18" s="387" t="s">
        <v>286</v>
      </c>
      <c r="P18" s="136"/>
    </row>
    <row r="19" spans="1:17" ht="12.75" customHeight="1" x14ac:dyDescent="0.2">
      <c r="B19" s="592" t="s">
        <v>484</v>
      </c>
      <c r="C19" s="214"/>
      <c r="E19" s="214"/>
      <c r="P19" s="136"/>
    </row>
    <row r="20" spans="1:17" ht="15" customHeight="1" x14ac:dyDescent="0.2">
      <c r="A20" s="136"/>
      <c r="B20" s="136" t="s">
        <v>239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</row>
    <row r="21" spans="1:17" ht="12.75" customHeight="1" x14ac:dyDescent="0.2">
      <c r="A21" s="216" t="s">
        <v>49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16" t="s">
        <v>240</v>
      </c>
      <c r="P21" s="216" t="s">
        <v>241</v>
      </c>
      <c r="Q21" s="216" t="s">
        <v>242</v>
      </c>
    </row>
    <row r="22" spans="1:17" ht="12.75" customHeight="1" x14ac:dyDescent="0.2">
      <c r="A22" s="223">
        <v>-15</v>
      </c>
      <c r="B22" s="315"/>
      <c r="C22" s="315"/>
      <c r="D22" s="315"/>
      <c r="E22" s="315"/>
      <c r="F22" s="315" t="s">
        <v>67</v>
      </c>
      <c r="G22" s="315"/>
      <c r="H22" s="315"/>
      <c r="I22" s="315"/>
      <c r="J22" s="315"/>
      <c r="K22" s="315"/>
      <c r="L22" s="315"/>
      <c r="M22" s="315"/>
      <c r="N22" s="315"/>
      <c r="O22" s="218">
        <f t="shared" ref="O22:O27" si="2">SUM(B22:N22)</f>
        <v>0</v>
      </c>
      <c r="P22" s="316"/>
      <c r="Q22" s="218">
        <f t="shared" ref="Q22:Q27" si="3">O22-P22</f>
        <v>0</v>
      </c>
    </row>
    <row r="23" spans="1:17" x14ac:dyDescent="0.2">
      <c r="A23" s="223">
        <v>-35</v>
      </c>
      <c r="B23" s="315"/>
      <c r="C23" s="315"/>
      <c r="D23" s="315"/>
      <c r="E23" s="315"/>
      <c r="F23" s="315" t="s">
        <v>67</v>
      </c>
      <c r="G23" s="315"/>
      <c r="H23" s="315"/>
      <c r="I23" s="315"/>
      <c r="J23" s="315"/>
      <c r="K23" s="315"/>
      <c r="L23" s="315"/>
      <c r="M23" s="315"/>
      <c r="N23" s="315"/>
      <c r="O23" s="218">
        <f t="shared" si="2"/>
        <v>0</v>
      </c>
      <c r="P23" s="316"/>
      <c r="Q23" s="218">
        <f t="shared" si="3"/>
        <v>0</v>
      </c>
    </row>
    <row r="24" spans="1:17" ht="12.75" customHeight="1" x14ac:dyDescent="0.2">
      <c r="A24" s="223">
        <v>-60</v>
      </c>
      <c r="B24" s="315"/>
      <c r="C24" s="315"/>
      <c r="D24" s="315"/>
      <c r="E24" s="315"/>
      <c r="F24" s="315" t="s">
        <v>67</v>
      </c>
      <c r="G24" s="315"/>
      <c r="H24" s="315"/>
      <c r="I24" s="315"/>
      <c r="J24" s="315"/>
      <c r="K24" s="315"/>
      <c r="L24" s="315"/>
      <c r="M24" s="315"/>
      <c r="N24" s="315"/>
      <c r="O24" s="218">
        <f t="shared" si="2"/>
        <v>0</v>
      </c>
      <c r="P24" s="316"/>
      <c r="Q24" s="218">
        <f t="shared" si="3"/>
        <v>0</v>
      </c>
    </row>
    <row r="25" spans="1:17" ht="12.75" customHeight="1" x14ac:dyDescent="0.2">
      <c r="A25" s="223">
        <v>-100</v>
      </c>
      <c r="B25" s="315"/>
      <c r="C25" s="315"/>
      <c r="D25" s="315"/>
      <c r="E25" s="315"/>
      <c r="F25" s="315" t="s">
        <v>67</v>
      </c>
      <c r="G25" s="315"/>
      <c r="H25" s="315"/>
      <c r="I25" s="315"/>
      <c r="J25" s="315"/>
      <c r="K25" s="315"/>
      <c r="L25" s="315"/>
      <c r="M25" s="315"/>
      <c r="N25" s="315"/>
      <c r="O25" s="218">
        <f t="shared" si="2"/>
        <v>0</v>
      </c>
      <c r="P25" s="316"/>
      <c r="Q25" s="218">
        <f t="shared" si="3"/>
        <v>0</v>
      </c>
    </row>
    <row r="26" spans="1:17" ht="12.75" customHeight="1" x14ac:dyDescent="0.2">
      <c r="A26" s="223">
        <v>-150</v>
      </c>
      <c r="B26" s="315"/>
      <c r="C26" s="315"/>
      <c r="D26" s="315"/>
      <c r="E26" s="315"/>
      <c r="F26" s="315" t="s">
        <v>67</v>
      </c>
      <c r="G26" s="315"/>
      <c r="H26" s="315"/>
      <c r="I26" s="315"/>
      <c r="J26" s="315"/>
      <c r="K26" s="315"/>
      <c r="L26" s="315"/>
      <c r="M26" s="315"/>
      <c r="N26" s="315"/>
      <c r="O26" s="218">
        <f t="shared" si="2"/>
        <v>0</v>
      </c>
      <c r="P26" s="316"/>
      <c r="Q26" s="218">
        <f t="shared" si="3"/>
        <v>0</v>
      </c>
    </row>
    <row r="27" spans="1:17" ht="15" customHeight="1" x14ac:dyDescent="0.2">
      <c r="A27" s="223">
        <v>-200</v>
      </c>
      <c r="B27" s="315"/>
      <c r="C27" s="315"/>
      <c r="D27" s="315"/>
      <c r="E27" s="315"/>
      <c r="F27" s="315" t="s">
        <v>67</v>
      </c>
      <c r="G27" s="315"/>
      <c r="H27" s="315"/>
      <c r="I27" s="315"/>
      <c r="J27" s="315"/>
      <c r="K27" s="315"/>
      <c r="L27" s="315"/>
      <c r="M27" s="315"/>
      <c r="N27" s="315"/>
      <c r="O27" s="218">
        <f t="shared" si="2"/>
        <v>0</v>
      </c>
      <c r="P27" s="316"/>
      <c r="Q27" s="223">
        <f t="shared" si="3"/>
        <v>0</v>
      </c>
    </row>
    <row r="28" spans="1:17" ht="15" customHeight="1" x14ac:dyDescent="0.2"/>
    <row r="29" spans="1:17" ht="15" customHeight="1" x14ac:dyDescent="0.2"/>
    <row r="30" spans="1:17" ht="15" customHeight="1" thickBot="1" x14ac:dyDescent="0.25">
      <c r="A30" s="140" t="s">
        <v>483</v>
      </c>
      <c r="B30" s="112"/>
      <c r="C30" s="219"/>
      <c r="D30" s="112"/>
      <c r="E30" s="219"/>
      <c r="F30" s="112"/>
      <c r="G30" s="112"/>
      <c r="K30" s="387" t="s">
        <v>286</v>
      </c>
      <c r="P30" s="136"/>
    </row>
    <row r="31" spans="1:17" ht="15" customHeight="1" x14ac:dyDescent="0.2">
      <c r="B31" s="592" t="s">
        <v>485</v>
      </c>
      <c r="C31" s="214"/>
      <c r="E31" s="214"/>
      <c r="P31" s="136"/>
    </row>
    <row r="32" spans="1:17" ht="15" customHeight="1" x14ac:dyDescent="0.2">
      <c r="A32" s="136"/>
      <c r="B32" s="136" t="s">
        <v>239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</row>
    <row r="33" spans="1:17" ht="15" customHeight="1" x14ac:dyDescent="0.2">
      <c r="A33" s="216" t="s">
        <v>49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16" t="s">
        <v>240</v>
      </c>
      <c r="P33" s="216" t="s">
        <v>241</v>
      </c>
      <c r="Q33" s="216" t="s">
        <v>242</v>
      </c>
    </row>
    <row r="34" spans="1:17" ht="15" customHeight="1" x14ac:dyDescent="0.2">
      <c r="A34" s="223">
        <v>-15</v>
      </c>
      <c r="B34" s="315"/>
      <c r="C34" s="315"/>
      <c r="D34" s="315"/>
      <c r="E34" s="315"/>
      <c r="F34" s="315" t="s">
        <v>67</v>
      </c>
      <c r="G34" s="315"/>
      <c r="H34" s="315"/>
      <c r="I34" s="315"/>
      <c r="J34" s="315"/>
      <c r="K34" s="315"/>
      <c r="L34" s="315"/>
      <c r="M34" s="315"/>
      <c r="N34" s="315"/>
      <c r="O34" s="218">
        <f t="shared" ref="O34:O39" si="4">SUM(B34:N34)</f>
        <v>0</v>
      </c>
      <c r="P34" s="316"/>
      <c r="Q34" s="218">
        <f t="shared" ref="Q34:Q39" si="5">O34-P34</f>
        <v>0</v>
      </c>
    </row>
    <row r="35" spans="1:17" ht="15" customHeight="1" x14ac:dyDescent="0.2">
      <c r="A35" s="223">
        <v>-35</v>
      </c>
      <c r="B35" s="315"/>
      <c r="C35" s="315"/>
      <c r="D35" s="315"/>
      <c r="E35" s="315"/>
      <c r="F35" s="315" t="s">
        <v>67</v>
      </c>
      <c r="G35" s="315"/>
      <c r="H35" s="315"/>
      <c r="I35" s="315"/>
      <c r="J35" s="315"/>
      <c r="K35" s="315"/>
      <c r="L35" s="315"/>
      <c r="M35" s="315"/>
      <c r="N35" s="315"/>
      <c r="O35" s="218">
        <f t="shared" si="4"/>
        <v>0</v>
      </c>
      <c r="P35" s="316"/>
      <c r="Q35" s="218">
        <f t="shared" si="5"/>
        <v>0</v>
      </c>
    </row>
    <row r="36" spans="1:17" ht="15" customHeight="1" x14ac:dyDescent="0.2">
      <c r="A36" s="223">
        <v>-60</v>
      </c>
      <c r="B36" s="315"/>
      <c r="C36" s="315"/>
      <c r="D36" s="315"/>
      <c r="E36" s="315"/>
      <c r="F36" s="315" t="s">
        <v>67</v>
      </c>
      <c r="G36" s="315"/>
      <c r="H36" s="315"/>
      <c r="I36" s="315"/>
      <c r="J36" s="315"/>
      <c r="K36" s="315"/>
      <c r="L36" s="315"/>
      <c r="M36" s="315"/>
      <c r="N36" s="315"/>
      <c r="O36" s="218">
        <f t="shared" si="4"/>
        <v>0</v>
      </c>
      <c r="P36" s="316"/>
      <c r="Q36" s="218">
        <f t="shared" si="5"/>
        <v>0</v>
      </c>
    </row>
    <row r="37" spans="1:17" ht="15" customHeight="1" x14ac:dyDescent="0.2">
      <c r="A37" s="223">
        <v>-100</v>
      </c>
      <c r="B37" s="315"/>
      <c r="C37" s="315"/>
      <c r="D37" s="315"/>
      <c r="E37" s="315"/>
      <c r="F37" s="315" t="s">
        <v>67</v>
      </c>
      <c r="G37" s="315"/>
      <c r="H37" s="315"/>
      <c r="I37" s="315"/>
      <c r="J37" s="315"/>
      <c r="K37" s="315"/>
      <c r="L37" s="315"/>
      <c r="M37" s="315"/>
      <c r="N37" s="315"/>
      <c r="O37" s="218">
        <f t="shared" si="4"/>
        <v>0</v>
      </c>
      <c r="P37" s="316"/>
      <c r="Q37" s="218">
        <f t="shared" si="5"/>
        <v>0</v>
      </c>
    </row>
    <row r="38" spans="1:17" ht="15" customHeight="1" x14ac:dyDescent="0.2">
      <c r="A38" s="223">
        <v>-150</v>
      </c>
      <c r="B38" s="315"/>
      <c r="C38" s="315"/>
      <c r="D38" s="315"/>
      <c r="E38" s="315"/>
      <c r="F38" s="315" t="s">
        <v>67</v>
      </c>
      <c r="G38" s="315"/>
      <c r="H38" s="315"/>
      <c r="I38" s="315"/>
      <c r="J38" s="315"/>
      <c r="K38" s="315"/>
      <c r="L38" s="315"/>
      <c r="M38" s="315"/>
      <c r="N38" s="315"/>
      <c r="O38" s="218">
        <f t="shared" si="4"/>
        <v>0</v>
      </c>
      <c r="P38" s="316"/>
      <c r="Q38" s="218">
        <f t="shared" si="5"/>
        <v>0</v>
      </c>
    </row>
    <row r="39" spans="1:17" ht="15" customHeight="1" x14ac:dyDescent="0.2">
      <c r="A39" s="223">
        <v>-200</v>
      </c>
      <c r="B39" s="315"/>
      <c r="C39" s="315"/>
      <c r="D39" s="315"/>
      <c r="E39" s="315"/>
      <c r="F39" s="315" t="s">
        <v>67</v>
      </c>
      <c r="G39" s="315"/>
      <c r="H39" s="315"/>
      <c r="I39" s="315"/>
      <c r="J39" s="315"/>
      <c r="K39" s="315"/>
      <c r="L39" s="315"/>
      <c r="M39" s="315"/>
      <c r="N39" s="315"/>
      <c r="O39" s="218">
        <f t="shared" si="4"/>
        <v>0</v>
      </c>
      <c r="P39" s="316"/>
      <c r="Q39" s="223">
        <f t="shared" si="5"/>
        <v>0</v>
      </c>
    </row>
    <row r="40" spans="1:17" ht="15" customHeight="1" x14ac:dyDescent="0.2">
      <c r="A40" s="225"/>
      <c r="B40" s="590"/>
      <c r="C40" s="590"/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132"/>
      <c r="P40" s="591"/>
      <c r="Q40" s="225"/>
    </row>
    <row r="41" spans="1:17" ht="15" customHeight="1" x14ac:dyDescent="0.2">
      <c r="A41" s="225"/>
      <c r="B41" s="590"/>
      <c r="C41" s="590"/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132"/>
      <c r="P41" s="591"/>
      <c r="Q41" s="225"/>
    </row>
    <row r="42" spans="1:17" ht="15" customHeight="1" thickBot="1" x14ac:dyDescent="0.25">
      <c r="A42" s="140" t="s">
        <v>401</v>
      </c>
      <c r="B42" s="112"/>
      <c r="C42" s="219"/>
      <c r="D42" s="112"/>
      <c r="E42" s="219"/>
      <c r="F42" s="112"/>
      <c r="K42" s="387" t="s">
        <v>286</v>
      </c>
      <c r="P42" s="136"/>
    </row>
    <row r="43" spans="1:17" ht="15" customHeight="1" x14ac:dyDescent="0.2">
      <c r="C43" s="214"/>
      <c r="E43" s="214"/>
      <c r="P43" s="136"/>
    </row>
    <row r="44" spans="1:17" ht="15" customHeight="1" x14ac:dyDescent="0.2">
      <c r="A44" s="136"/>
      <c r="B44" s="136" t="s">
        <v>239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</row>
    <row r="45" spans="1:17" ht="15" customHeight="1" x14ac:dyDescent="0.2">
      <c r="A45" s="216" t="s">
        <v>400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16" t="s">
        <v>240</v>
      </c>
      <c r="P45" s="216" t="s">
        <v>241</v>
      </c>
      <c r="Q45" s="216" t="s">
        <v>242</v>
      </c>
    </row>
    <row r="46" spans="1:17" ht="15" customHeight="1" x14ac:dyDescent="0.2">
      <c r="A46" s="223">
        <v>-1500</v>
      </c>
      <c r="B46" s="315"/>
      <c r="C46" s="315"/>
      <c r="D46" s="315"/>
      <c r="E46" s="315"/>
      <c r="F46" s="315" t="s">
        <v>67</v>
      </c>
      <c r="G46" s="315"/>
      <c r="H46" s="315"/>
      <c r="I46" s="315"/>
      <c r="J46" s="315"/>
      <c r="K46" s="315"/>
      <c r="L46" s="315"/>
      <c r="M46" s="315"/>
      <c r="N46" s="315"/>
      <c r="O46" s="218">
        <f t="shared" ref="O46:O51" si="6">SUM(B46:N46)</f>
        <v>0</v>
      </c>
      <c r="P46" s="316"/>
      <c r="Q46" s="218">
        <f t="shared" ref="Q46:Q51" si="7">O46-P46</f>
        <v>0</v>
      </c>
    </row>
    <row r="47" spans="1:17" ht="15" customHeight="1" x14ac:dyDescent="0.2">
      <c r="A47" s="223">
        <v>-2000</v>
      </c>
      <c r="B47" s="315"/>
      <c r="C47" s="315"/>
      <c r="D47" s="315"/>
      <c r="E47" s="315"/>
      <c r="F47" s="315" t="s">
        <v>67</v>
      </c>
      <c r="G47" s="315"/>
      <c r="H47" s="315"/>
      <c r="I47" s="315"/>
      <c r="J47" s="315"/>
      <c r="K47" s="315"/>
      <c r="L47" s="315"/>
      <c r="M47" s="315"/>
      <c r="N47" s="315"/>
      <c r="O47" s="218">
        <f t="shared" si="6"/>
        <v>0</v>
      </c>
      <c r="P47" s="316"/>
      <c r="Q47" s="218">
        <f t="shared" si="7"/>
        <v>0</v>
      </c>
    </row>
    <row r="48" spans="1:17" ht="15" customHeight="1" x14ac:dyDescent="0.2">
      <c r="A48" s="223">
        <v>-2500</v>
      </c>
      <c r="B48" s="315"/>
      <c r="C48" s="315"/>
      <c r="D48" s="315"/>
      <c r="E48" s="315"/>
      <c r="F48" s="315" t="s">
        <v>67</v>
      </c>
      <c r="G48" s="315"/>
      <c r="H48" s="315"/>
      <c r="I48" s="315"/>
      <c r="J48" s="315"/>
      <c r="K48" s="315"/>
      <c r="L48" s="315"/>
      <c r="M48" s="315"/>
      <c r="N48" s="315"/>
      <c r="O48" s="218">
        <f t="shared" si="6"/>
        <v>0</v>
      </c>
      <c r="P48" s="316"/>
      <c r="Q48" s="218">
        <f t="shared" si="7"/>
        <v>0</v>
      </c>
    </row>
    <row r="49" spans="1:17" ht="15" customHeight="1" x14ac:dyDescent="0.2">
      <c r="A49" s="223">
        <v>-3000</v>
      </c>
      <c r="B49" s="315"/>
      <c r="C49" s="315"/>
      <c r="D49" s="315"/>
      <c r="E49" s="315"/>
      <c r="F49" s="315" t="s">
        <v>67</v>
      </c>
      <c r="G49" s="315"/>
      <c r="H49" s="315"/>
      <c r="I49" s="315"/>
      <c r="J49" s="315"/>
      <c r="K49" s="315"/>
      <c r="L49" s="315"/>
      <c r="M49" s="315"/>
      <c r="N49" s="315"/>
      <c r="O49" s="218">
        <f t="shared" si="6"/>
        <v>0</v>
      </c>
      <c r="P49" s="316"/>
      <c r="Q49" s="218">
        <f t="shared" si="7"/>
        <v>0</v>
      </c>
    </row>
    <row r="50" spans="1:17" ht="15" customHeight="1" x14ac:dyDescent="0.2">
      <c r="A50" s="223">
        <v>-3500</v>
      </c>
      <c r="B50" s="315"/>
      <c r="C50" s="315"/>
      <c r="D50" s="315"/>
      <c r="E50" s="315"/>
      <c r="F50" s="315" t="s">
        <v>67</v>
      </c>
      <c r="G50" s="315"/>
      <c r="H50" s="315"/>
      <c r="I50" s="315"/>
      <c r="J50" s="315"/>
      <c r="K50" s="315"/>
      <c r="L50" s="315"/>
      <c r="M50" s="315"/>
      <c r="N50" s="315"/>
      <c r="O50" s="218">
        <f t="shared" si="6"/>
        <v>0</v>
      </c>
      <c r="P50" s="316"/>
      <c r="Q50" s="218">
        <f t="shared" si="7"/>
        <v>0</v>
      </c>
    </row>
    <row r="51" spans="1:17" ht="15" customHeight="1" x14ac:dyDescent="0.2">
      <c r="A51" s="223">
        <v>-4000</v>
      </c>
      <c r="B51" s="315"/>
      <c r="C51" s="315"/>
      <c r="D51" s="315"/>
      <c r="E51" s="315"/>
      <c r="F51" s="315" t="s">
        <v>67</v>
      </c>
      <c r="G51" s="315"/>
      <c r="H51" s="315"/>
      <c r="I51" s="315"/>
      <c r="J51" s="315"/>
      <c r="K51" s="315"/>
      <c r="L51" s="315"/>
      <c r="M51" s="315"/>
      <c r="N51" s="315"/>
      <c r="O51" s="218">
        <f t="shared" si="6"/>
        <v>0</v>
      </c>
      <c r="P51" s="316"/>
      <c r="Q51" s="223">
        <f t="shared" si="7"/>
        <v>0</v>
      </c>
    </row>
    <row r="52" spans="1:17" ht="15" customHeight="1" x14ac:dyDescent="0.2">
      <c r="A52" s="223">
        <v>-4500</v>
      </c>
      <c r="B52" s="315"/>
      <c r="C52" s="315"/>
      <c r="D52" s="315"/>
      <c r="E52" s="315"/>
      <c r="F52" s="315" t="s">
        <v>67</v>
      </c>
      <c r="G52" s="315"/>
      <c r="H52" s="315"/>
      <c r="I52" s="315"/>
      <c r="J52" s="315"/>
      <c r="K52" s="315"/>
      <c r="L52" s="315"/>
      <c r="M52" s="315"/>
      <c r="N52" s="315"/>
      <c r="O52" s="218">
        <f>SUM(B52:N52)</f>
        <v>0</v>
      </c>
      <c r="P52" s="316"/>
      <c r="Q52" s="223">
        <f>O52-P52</f>
        <v>0</v>
      </c>
    </row>
    <row r="53" spans="1:17" ht="15" customHeight="1" x14ac:dyDescent="0.2">
      <c r="A53" s="223">
        <v>-5000</v>
      </c>
      <c r="B53" s="315"/>
      <c r="C53" s="315"/>
      <c r="D53" s="315"/>
      <c r="E53" s="315"/>
      <c r="F53" s="315" t="s">
        <v>67</v>
      </c>
      <c r="G53" s="315"/>
      <c r="H53" s="315"/>
      <c r="I53" s="315"/>
      <c r="J53" s="315"/>
      <c r="K53" s="315"/>
      <c r="L53" s="315"/>
      <c r="M53" s="315"/>
      <c r="N53" s="315"/>
      <c r="O53" s="218">
        <f>SUM(B53:N53)</f>
        <v>0</v>
      </c>
      <c r="P53" s="316"/>
      <c r="Q53" s="223">
        <f>O53-P53</f>
        <v>0</v>
      </c>
    </row>
    <row r="54" spans="1:17" ht="15" customHeight="1" x14ac:dyDescent="0.2"/>
    <row r="55" spans="1:17" ht="15" customHeight="1" x14ac:dyDescent="0.2"/>
    <row r="56" spans="1:17" ht="15" customHeight="1" thickBot="1" x14ac:dyDescent="0.25">
      <c r="A56" s="140" t="s">
        <v>473</v>
      </c>
      <c r="B56" s="112"/>
      <c r="C56" s="219"/>
      <c r="D56" s="112"/>
      <c r="E56" s="219"/>
      <c r="F56" s="112"/>
      <c r="G56" s="112"/>
      <c r="H56" s="112"/>
      <c r="I56" s="112"/>
      <c r="K56" s="387" t="s">
        <v>286</v>
      </c>
      <c r="P56" s="136"/>
    </row>
    <row r="57" spans="1:17" ht="15" customHeight="1" x14ac:dyDescent="0.2">
      <c r="C57" s="214"/>
      <c r="E57" s="214"/>
      <c r="P57" s="136"/>
    </row>
    <row r="58" spans="1:17" ht="15" customHeight="1" x14ac:dyDescent="0.2">
      <c r="A58" s="136"/>
      <c r="B58" s="136" t="s">
        <v>239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</row>
    <row r="59" spans="1:17" ht="15" customHeight="1" x14ac:dyDescent="0.2">
      <c r="A59" s="216" t="s">
        <v>400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16" t="s">
        <v>240</v>
      </c>
      <c r="P59" s="216" t="s">
        <v>241</v>
      </c>
      <c r="Q59" s="216" t="s">
        <v>242</v>
      </c>
    </row>
    <row r="60" spans="1:17" ht="15" customHeight="1" x14ac:dyDescent="0.2">
      <c r="A60" s="223">
        <v>-1500</v>
      </c>
      <c r="B60" s="315"/>
      <c r="C60" s="315"/>
      <c r="D60" s="315"/>
      <c r="E60" s="315"/>
      <c r="F60" s="315" t="s">
        <v>67</v>
      </c>
      <c r="G60" s="315"/>
      <c r="H60" s="315"/>
      <c r="I60" s="315"/>
      <c r="J60" s="315"/>
      <c r="K60" s="315"/>
      <c r="L60" s="315"/>
      <c r="M60" s="315"/>
      <c r="N60" s="315"/>
      <c r="O60" s="218">
        <f t="shared" ref="O60:O67" si="8">SUM(B60:N60)</f>
        <v>0</v>
      </c>
      <c r="P60" s="316"/>
      <c r="Q60" s="218">
        <f t="shared" ref="Q60:Q65" si="9">O60-P60</f>
        <v>0</v>
      </c>
    </row>
    <row r="61" spans="1:17" ht="15" customHeight="1" x14ac:dyDescent="0.2">
      <c r="A61" s="223">
        <v>-2000</v>
      </c>
      <c r="B61" s="315"/>
      <c r="C61" s="315"/>
      <c r="D61" s="315"/>
      <c r="E61" s="315"/>
      <c r="F61" s="315" t="s">
        <v>67</v>
      </c>
      <c r="G61" s="315"/>
      <c r="H61" s="315"/>
      <c r="I61" s="315"/>
      <c r="J61" s="315"/>
      <c r="K61" s="315"/>
      <c r="L61" s="315"/>
      <c r="M61" s="315"/>
      <c r="N61" s="315"/>
      <c r="O61" s="218">
        <f t="shared" si="8"/>
        <v>0</v>
      </c>
      <c r="P61" s="316"/>
      <c r="Q61" s="218">
        <f t="shared" si="9"/>
        <v>0</v>
      </c>
    </row>
    <row r="62" spans="1:17" ht="15" customHeight="1" x14ac:dyDescent="0.2">
      <c r="A62" s="223">
        <v>-2500</v>
      </c>
      <c r="B62" s="315"/>
      <c r="C62" s="315"/>
      <c r="D62" s="315"/>
      <c r="E62" s="315"/>
      <c r="F62" s="315" t="s">
        <v>67</v>
      </c>
      <c r="G62" s="315"/>
      <c r="H62" s="315"/>
      <c r="I62" s="315"/>
      <c r="J62" s="315"/>
      <c r="K62" s="315"/>
      <c r="L62" s="315"/>
      <c r="M62" s="315"/>
      <c r="N62" s="315"/>
      <c r="O62" s="218">
        <f t="shared" si="8"/>
        <v>0</v>
      </c>
      <c r="P62" s="316"/>
      <c r="Q62" s="218">
        <f t="shared" si="9"/>
        <v>0</v>
      </c>
    </row>
    <row r="63" spans="1:17" ht="15" customHeight="1" x14ac:dyDescent="0.2">
      <c r="A63" s="223">
        <v>-3000</v>
      </c>
      <c r="B63" s="315"/>
      <c r="C63" s="315"/>
      <c r="D63" s="315"/>
      <c r="E63" s="315"/>
      <c r="F63" s="315" t="s">
        <v>67</v>
      </c>
      <c r="G63" s="315"/>
      <c r="H63" s="315"/>
      <c r="I63" s="315"/>
      <c r="J63" s="315"/>
      <c r="K63" s="315"/>
      <c r="L63" s="315"/>
      <c r="M63" s="315"/>
      <c r="N63" s="315"/>
      <c r="O63" s="218">
        <f t="shared" si="8"/>
        <v>0</v>
      </c>
      <c r="P63" s="316"/>
      <c r="Q63" s="218">
        <f t="shared" si="9"/>
        <v>0</v>
      </c>
    </row>
    <row r="64" spans="1:17" ht="15" customHeight="1" x14ac:dyDescent="0.2">
      <c r="A64" s="223">
        <v>-3500</v>
      </c>
      <c r="B64" s="315"/>
      <c r="C64" s="315"/>
      <c r="D64" s="315"/>
      <c r="E64" s="315"/>
      <c r="F64" s="315" t="s">
        <v>67</v>
      </c>
      <c r="G64" s="315"/>
      <c r="H64" s="315"/>
      <c r="I64" s="315"/>
      <c r="J64" s="315"/>
      <c r="K64" s="315"/>
      <c r="L64" s="315"/>
      <c r="M64" s="315"/>
      <c r="N64" s="315"/>
      <c r="O64" s="218">
        <f t="shared" si="8"/>
        <v>0</v>
      </c>
      <c r="P64" s="316"/>
      <c r="Q64" s="218">
        <f t="shared" si="9"/>
        <v>0</v>
      </c>
    </row>
    <row r="65" spans="1:17" ht="15" customHeight="1" x14ac:dyDescent="0.2">
      <c r="A65" s="223">
        <v>-4000</v>
      </c>
      <c r="B65" s="315"/>
      <c r="C65" s="315"/>
      <c r="D65" s="315"/>
      <c r="E65" s="315"/>
      <c r="F65" s="315" t="s">
        <v>67</v>
      </c>
      <c r="G65" s="315"/>
      <c r="H65" s="315"/>
      <c r="I65" s="315"/>
      <c r="J65" s="315"/>
      <c r="K65" s="315"/>
      <c r="L65" s="315"/>
      <c r="M65" s="315"/>
      <c r="N65" s="315"/>
      <c r="O65" s="218">
        <f t="shared" si="8"/>
        <v>0</v>
      </c>
      <c r="P65" s="316"/>
      <c r="Q65" s="223">
        <f t="shared" si="9"/>
        <v>0</v>
      </c>
    </row>
    <row r="66" spans="1:17" ht="15" customHeight="1" x14ac:dyDescent="0.2">
      <c r="A66" s="223">
        <v>-4500</v>
      </c>
      <c r="B66" s="315"/>
      <c r="C66" s="315"/>
      <c r="D66" s="315"/>
      <c r="E66" s="315"/>
      <c r="F66" s="315" t="s">
        <v>67</v>
      </c>
      <c r="G66" s="315"/>
      <c r="H66" s="315"/>
      <c r="I66" s="315"/>
      <c r="J66" s="315"/>
      <c r="K66" s="315"/>
      <c r="L66" s="315"/>
      <c r="M66" s="315"/>
      <c r="N66" s="315"/>
      <c r="O66" s="218">
        <f t="shared" si="8"/>
        <v>0</v>
      </c>
      <c r="P66" s="316"/>
      <c r="Q66" s="223">
        <f>O66-P66</f>
        <v>0</v>
      </c>
    </row>
    <row r="67" spans="1:17" ht="15" customHeight="1" x14ac:dyDescent="0.2">
      <c r="A67" s="223">
        <v>-5000</v>
      </c>
      <c r="B67" s="315"/>
      <c r="C67" s="315"/>
      <c r="D67" s="315"/>
      <c r="E67" s="315"/>
      <c r="F67" s="315" t="s">
        <v>67</v>
      </c>
      <c r="G67" s="315"/>
      <c r="H67" s="315"/>
      <c r="I67" s="315"/>
      <c r="J67" s="315"/>
      <c r="K67" s="315"/>
      <c r="L67" s="315"/>
      <c r="M67" s="315"/>
      <c r="N67" s="315"/>
      <c r="O67" s="218">
        <f t="shared" si="8"/>
        <v>0</v>
      </c>
      <c r="P67" s="316"/>
      <c r="Q67" s="223">
        <f>O67-P67</f>
        <v>0</v>
      </c>
    </row>
    <row r="68" spans="1:17" ht="15" customHeight="1" x14ac:dyDescent="0.2">
      <c r="A68" s="223">
        <v>-5500</v>
      </c>
      <c r="B68" s="315"/>
      <c r="C68" s="315"/>
      <c r="D68" s="315"/>
      <c r="E68" s="315"/>
      <c r="F68" s="315" t="s">
        <v>67</v>
      </c>
      <c r="G68" s="315"/>
      <c r="H68" s="315"/>
      <c r="I68" s="315"/>
      <c r="J68" s="315"/>
      <c r="K68" s="315"/>
      <c r="L68" s="315"/>
      <c r="M68" s="315"/>
      <c r="N68" s="315"/>
      <c r="O68" s="218">
        <f t="shared" ref="O68:O69" si="10">SUM(B68:N68)</f>
        <v>0</v>
      </c>
      <c r="P68" s="316"/>
      <c r="Q68" s="223">
        <f t="shared" ref="Q68:Q69" si="11">O68-P68</f>
        <v>0</v>
      </c>
    </row>
    <row r="69" spans="1:17" ht="15" customHeight="1" x14ac:dyDescent="0.2">
      <c r="A69" s="223">
        <v>-6000</v>
      </c>
      <c r="B69" s="315"/>
      <c r="C69" s="315"/>
      <c r="D69" s="315"/>
      <c r="E69" s="315"/>
      <c r="F69" s="315" t="s">
        <v>67</v>
      </c>
      <c r="G69" s="315"/>
      <c r="H69" s="315"/>
      <c r="I69" s="315"/>
      <c r="J69" s="315"/>
      <c r="K69" s="315"/>
      <c r="L69" s="315"/>
      <c r="M69" s="315"/>
      <c r="N69" s="315"/>
      <c r="O69" s="218">
        <f t="shared" si="10"/>
        <v>0</v>
      </c>
      <c r="P69" s="316"/>
      <c r="Q69" s="223">
        <f t="shared" si="11"/>
        <v>0</v>
      </c>
    </row>
    <row r="70" spans="1:17" ht="15" customHeight="1" x14ac:dyDescent="0.2"/>
    <row r="71" spans="1:17" ht="15" customHeight="1" x14ac:dyDescent="0.2"/>
    <row r="72" spans="1:17" ht="15" customHeight="1" thickBot="1" x14ac:dyDescent="0.25">
      <c r="A72" s="140" t="s">
        <v>474</v>
      </c>
      <c r="B72" s="112"/>
      <c r="C72" s="219"/>
      <c r="D72" s="112"/>
      <c r="E72" s="219"/>
      <c r="F72" s="112"/>
      <c r="G72" s="112"/>
      <c r="K72" s="387" t="s">
        <v>286</v>
      </c>
      <c r="P72" s="136"/>
    </row>
    <row r="73" spans="1:17" ht="15" customHeight="1" x14ac:dyDescent="0.2">
      <c r="C73" s="214"/>
      <c r="E73" s="214"/>
      <c r="P73" s="136"/>
    </row>
    <row r="74" spans="1:17" ht="15" customHeight="1" x14ac:dyDescent="0.2">
      <c r="A74" s="136"/>
      <c r="B74" s="136" t="s">
        <v>239</v>
      </c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</row>
    <row r="75" spans="1:17" ht="15" customHeight="1" x14ac:dyDescent="0.2">
      <c r="A75" s="216" t="s">
        <v>400</v>
      </c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16" t="s">
        <v>240</v>
      </c>
      <c r="P75" s="216" t="s">
        <v>241</v>
      </c>
      <c r="Q75" s="216" t="s">
        <v>242</v>
      </c>
    </row>
    <row r="76" spans="1:17" ht="15" customHeight="1" x14ac:dyDescent="0.2">
      <c r="A76" s="223">
        <v>-1500</v>
      </c>
      <c r="B76" s="315"/>
      <c r="C76" s="315"/>
      <c r="D76" s="315"/>
      <c r="E76" s="315"/>
      <c r="F76" s="315" t="s">
        <v>67</v>
      </c>
      <c r="G76" s="315"/>
      <c r="H76" s="315"/>
      <c r="I76" s="315"/>
      <c r="J76" s="315"/>
      <c r="K76" s="315"/>
      <c r="L76" s="315"/>
      <c r="M76" s="315"/>
      <c r="N76" s="315"/>
      <c r="O76" s="218">
        <f>SUM(B76:N76)</f>
        <v>0</v>
      </c>
      <c r="P76" s="316"/>
      <c r="Q76" s="218">
        <f t="shared" ref="Q76:Q81" si="12">O76-P76</f>
        <v>0</v>
      </c>
    </row>
    <row r="77" spans="1:17" ht="15" customHeight="1" x14ac:dyDescent="0.2">
      <c r="A77" s="223">
        <v>-2000</v>
      </c>
      <c r="B77" s="315"/>
      <c r="C77" s="315"/>
      <c r="D77" s="315"/>
      <c r="E77" s="315"/>
      <c r="F77" s="315" t="s">
        <v>67</v>
      </c>
      <c r="G77" s="315"/>
      <c r="H77" s="315"/>
      <c r="I77" s="315"/>
      <c r="J77" s="315"/>
      <c r="K77" s="315"/>
      <c r="L77" s="315"/>
      <c r="M77" s="315"/>
      <c r="N77" s="315"/>
      <c r="O77" s="218">
        <f t="shared" ref="O77:O83" si="13">SUM(B77:N77)</f>
        <v>0</v>
      </c>
      <c r="P77" s="316"/>
      <c r="Q77" s="218">
        <f t="shared" si="12"/>
        <v>0</v>
      </c>
    </row>
    <row r="78" spans="1:17" ht="15" customHeight="1" x14ac:dyDescent="0.2">
      <c r="A78" s="223">
        <v>-2500</v>
      </c>
      <c r="B78" s="315"/>
      <c r="C78" s="315"/>
      <c r="D78" s="315"/>
      <c r="E78" s="315"/>
      <c r="F78" s="315" t="s">
        <v>67</v>
      </c>
      <c r="G78" s="315"/>
      <c r="H78" s="315"/>
      <c r="I78" s="315"/>
      <c r="J78" s="315"/>
      <c r="K78" s="315"/>
      <c r="L78" s="315"/>
      <c r="M78" s="315"/>
      <c r="N78" s="315"/>
      <c r="O78" s="218">
        <f t="shared" si="13"/>
        <v>0</v>
      </c>
      <c r="P78" s="316"/>
      <c r="Q78" s="218">
        <f t="shared" si="12"/>
        <v>0</v>
      </c>
    </row>
    <row r="79" spans="1:17" ht="15" customHeight="1" x14ac:dyDescent="0.2">
      <c r="A79" s="223">
        <v>-3000</v>
      </c>
      <c r="B79" s="315"/>
      <c r="C79" s="315"/>
      <c r="D79" s="315"/>
      <c r="E79" s="315"/>
      <c r="F79" s="315" t="s">
        <v>67</v>
      </c>
      <c r="G79" s="315"/>
      <c r="H79" s="315"/>
      <c r="I79" s="315"/>
      <c r="J79" s="315"/>
      <c r="K79" s="315"/>
      <c r="L79" s="315"/>
      <c r="M79" s="315"/>
      <c r="N79" s="315"/>
      <c r="O79" s="218">
        <f t="shared" si="13"/>
        <v>0</v>
      </c>
      <c r="P79" s="316"/>
      <c r="Q79" s="218">
        <f t="shared" si="12"/>
        <v>0</v>
      </c>
    </row>
    <row r="80" spans="1:17" ht="15" customHeight="1" x14ac:dyDescent="0.2">
      <c r="A80" s="223">
        <v>-3500</v>
      </c>
      <c r="B80" s="315"/>
      <c r="C80" s="315"/>
      <c r="D80" s="315"/>
      <c r="E80" s="315"/>
      <c r="F80" s="315" t="s">
        <v>67</v>
      </c>
      <c r="G80" s="315"/>
      <c r="H80" s="315"/>
      <c r="I80" s="315"/>
      <c r="J80" s="315"/>
      <c r="K80" s="315"/>
      <c r="L80" s="315"/>
      <c r="M80" s="315"/>
      <c r="N80" s="315"/>
      <c r="O80" s="218">
        <f t="shared" si="13"/>
        <v>0</v>
      </c>
      <c r="P80" s="316"/>
      <c r="Q80" s="218">
        <f t="shared" si="12"/>
        <v>0</v>
      </c>
    </row>
    <row r="81" spans="1:17" ht="15" customHeight="1" x14ac:dyDescent="0.2">
      <c r="A81" s="223">
        <v>-4000</v>
      </c>
      <c r="B81" s="315"/>
      <c r="C81" s="315"/>
      <c r="D81" s="315"/>
      <c r="E81" s="315"/>
      <c r="F81" s="315" t="s">
        <v>67</v>
      </c>
      <c r="G81" s="315"/>
      <c r="H81" s="315"/>
      <c r="I81" s="315"/>
      <c r="J81" s="315"/>
      <c r="K81" s="315"/>
      <c r="L81" s="315"/>
      <c r="M81" s="315"/>
      <c r="N81" s="315"/>
      <c r="O81" s="218">
        <f t="shared" si="13"/>
        <v>0</v>
      </c>
      <c r="P81" s="316"/>
      <c r="Q81" s="223">
        <f t="shared" si="12"/>
        <v>0</v>
      </c>
    </row>
    <row r="82" spans="1:17" ht="15" customHeight="1" x14ac:dyDescent="0.2">
      <c r="A82" s="223">
        <v>-4500</v>
      </c>
      <c r="B82" s="315"/>
      <c r="C82" s="315"/>
      <c r="D82" s="315"/>
      <c r="E82" s="315"/>
      <c r="F82" s="315" t="s">
        <v>67</v>
      </c>
      <c r="G82" s="315"/>
      <c r="H82" s="315"/>
      <c r="I82" s="315"/>
      <c r="J82" s="315"/>
      <c r="K82" s="315"/>
      <c r="L82" s="315"/>
      <c r="M82" s="315"/>
      <c r="N82" s="315"/>
      <c r="O82" s="218">
        <f t="shared" si="13"/>
        <v>0</v>
      </c>
      <c r="P82" s="316"/>
      <c r="Q82" s="223">
        <f>O82-P82</f>
        <v>0</v>
      </c>
    </row>
    <row r="83" spans="1:17" ht="15" customHeight="1" x14ac:dyDescent="0.2">
      <c r="A83" s="223">
        <v>-5000</v>
      </c>
      <c r="B83" s="315"/>
      <c r="C83" s="315"/>
      <c r="D83" s="315"/>
      <c r="E83" s="315"/>
      <c r="F83" s="315" t="s">
        <v>67</v>
      </c>
      <c r="G83" s="315"/>
      <c r="H83" s="315"/>
      <c r="I83" s="315"/>
      <c r="J83" s="315"/>
      <c r="K83" s="315"/>
      <c r="L83" s="315"/>
      <c r="M83" s="315"/>
      <c r="N83" s="315"/>
      <c r="O83" s="218">
        <f t="shared" si="13"/>
        <v>0</v>
      </c>
      <c r="P83" s="316"/>
      <c r="Q83" s="223">
        <f>O83-P83</f>
        <v>0</v>
      </c>
    </row>
    <row r="84" spans="1:17" ht="15" customHeight="1" x14ac:dyDescent="0.2">
      <c r="A84" s="223">
        <v>-5500</v>
      </c>
      <c r="B84" s="315"/>
      <c r="C84" s="315"/>
      <c r="D84" s="315"/>
      <c r="E84" s="315"/>
      <c r="F84" s="315" t="s">
        <v>67</v>
      </c>
      <c r="G84" s="315"/>
      <c r="H84" s="315"/>
      <c r="I84" s="315"/>
      <c r="J84" s="315"/>
      <c r="K84" s="315"/>
      <c r="L84" s="315"/>
      <c r="M84" s="315"/>
      <c r="N84" s="315"/>
      <c r="O84" s="218">
        <f t="shared" ref="O84:O85" si="14">SUM(B84:N84)</f>
        <v>0</v>
      </c>
      <c r="P84" s="316"/>
      <c r="Q84" s="223">
        <f t="shared" ref="Q84:Q85" si="15">O84-P84</f>
        <v>0</v>
      </c>
    </row>
    <row r="85" spans="1:17" ht="15" customHeight="1" x14ac:dyDescent="0.2">
      <c r="A85" s="223">
        <v>-6000</v>
      </c>
      <c r="B85" s="315"/>
      <c r="C85" s="315"/>
      <c r="D85" s="315"/>
      <c r="E85" s="315"/>
      <c r="F85" s="315" t="s">
        <v>67</v>
      </c>
      <c r="G85" s="315"/>
      <c r="H85" s="315"/>
      <c r="I85" s="315"/>
      <c r="J85" s="315"/>
      <c r="K85" s="315"/>
      <c r="L85" s="315"/>
      <c r="M85" s="315"/>
      <c r="N85" s="315"/>
      <c r="O85" s="218">
        <f t="shared" si="14"/>
        <v>0</v>
      </c>
      <c r="P85" s="316"/>
      <c r="Q85" s="223">
        <f t="shared" si="15"/>
        <v>0</v>
      </c>
    </row>
    <row r="86" spans="1:17" ht="15" customHeight="1" x14ac:dyDescent="0.2"/>
    <row r="87" spans="1:17" ht="15" customHeight="1" x14ac:dyDescent="0.2"/>
    <row r="88" spans="1:17" ht="12.75" customHeight="1" thickBot="1" x14ac:dyDescent="0.25">
      <c r="A88" s="140" t="s">
        <v>392</v>
      </c>
      <c r="B88" s="112"/>
      <c r="C88" s="219"/>
      <c r="D88" s="112"/>
      <c r="E88" s="219"/>
      <c r="F88" s="112"/>
      <c r="G88" s="112"/>
      <c r="H88" s="140"/>
      <c r="I88" s="112"/>
      <c r="P88" s="136"/>
    </row>
    <row r="89" spans="1:17" ht="12.75" customHeight="1" x14ac:dyDescent="0.2">
      <c r="C89" s="214"/>
      <c r="E89" s="214"/>
      <c r="P89" s="136"/>
    </row>
    <row r="90" spans="1:17" x14ac:dyDescent="0.2">
      <c r="A90" s="136"/>
      <c r="B90" s="136" t="s">
        <v>239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</row>
    <row r="91" spans="1:17" x14ac:dyDescent="0.2">
      <c r="A91" s="216" t="s">
        <v>49</v>
      </c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16" t="s">
        <v>240</v>
      </c>
      <c r="P91" s="216" t="s">
        <v>241</v>
      </c>
      <c r="Q91" s="216" t="s">
        <v>242</v>
      </c>
    </row>
    <row r="92" spans="1:17" x14ac:dyDescent="0.2">
      <c r="A92" s="223" t="s">
        <v>390</v>
      </c>
      <c r="B92" s="315"/>
      <c r="C92" s="315"/>
      <c r="D92" s="315"/>
      <c r="E92" s="315"/>
      <c r="F92" s="315" t="s">
        <v>67</v>
      </c>
      <c r="G92" s="315"/>
      <c r="H92" s="315"/>
      <c r="I92" s="315"/>
      <c r="J92" s="315"/>
      <c r="K92" s="315"/>
      <c r="L92" s="315"/>
      <c r="M92" s="315"/>
      <c r="N92" s="315"/>
      <c r="O92" s="218">
        <f>SUM(B92:N92)</f>
        <v>0</v>
      </c>
      <c r="P92" s="316"/>
      <c r="Q92" s="218">
        <f>O92-P92</f>
        <v>0</v>
      </c>
    </row>
    <row r="93" spans="1:17" x14ac:dyDescent="0.2">
      <c r="A93" s="223" t="s">
        <v>391</v>
      </c>
      <c r="B93" s="315"/>
      <c r="C93" s="315"/>
      <c r="D93" s="315"/>
      <c r="E93" s="315"/>
      <c r="F93" s="315" t="s">
        <v>67</v>
      </c>
      <c r="G93" s="315"/>
      <c r="H93" s="315"/>
      <c r="I93" s="315"/>
      <c r="J93" s="315"/>
      <c r="K93" s="315"/>
      <c r="L93" s="315"/>
      <c r="M93" s="315"/>
      <c r="N93" s="315"/>
      <c r="O93" s="218">
        <f>SUM(B93:N93)</f>
        <v>0</v>
      </c>
      <c r="P93" s="316"/>
      <c r="Q93" s="218">
        <f>O93-P93</f>
        <v>0</v>
      </c>
    </row>
    <row r="96" spans="1:17" ht="13.5" thickBot="1" x14ac:dyDescent="0.25">
      <c r="A96" s="140" t="s">
        <v>403</v>
      </c>
      <c r="B96" s="112"/>
      <c r="C96" s="112"/>
      <c r="D96" s="112"/>
      <c r="E96" s="112"/>
      <c r="F96" s="112"/>
      <c r="G96" s="112"/>
      <c r="H96" s="112"/>
      <c r="I96" s="112"/>
    </row>
    <row r="97" spans="1:17" x14ac:dyDescent="0.2">
      <c r="B97" s="109" t="s">
        <v>239</v>
      </c>
    </row>
    <row r="98" spans="1:17" x14ac:dyDescent="0.2">
      <c r="A98" s="107" t="s">
        <v>404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99" t="s">
        <v>240</v>
      </c>
      <c r="P98" s="101" t="s">
        <v>241</v>
      </c>
      <c r="Q98" s="99" t="s">
        <v>242</v>
      </c>
    </row>
    <row r="99" spans="1:17" x14ac:dyDescent="0.2">
      <c r="A99" s="107" t="s">
        <v>145</v>
      </c>
      <c r="B99" s="306"/>
      <c r="C99" s="306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102">
        <f>SUM(B99:N99)</f>
        <v>0</v>
      </c>
      <c r="P99" s="308"/>
      <c r="Q99" s="102">
        <f>O99-P99</f>
        <v>0</v>
      </c>
    </row>
  </sheetData>
  <sheetProtection algorithmName="SHA-512" hashValue="uzW5I1Cok0UKjAi5qLoeKyNkOTssV0crkSNB8HWzE0iwyTjpq+yN0IyH7wpXHYNuRrMKFS4QTqC6Mv8mg8cE8A==" saltValue="19xg8SMYX45j6IwMn7IXIA==" spinCount="100000" sheet="1"/>
  <mergeCells count="1">
    <mergeCell ref="A9:E9"/>
  </mergeCells>
  <phoneticPr fontId="0" type="noConversion"/>
  <hyperlinks>
    <hyperlink ref="N2" location="Etusivu!A1" tooltip="Tästä pääset etusivulle" display="Etusivu" xr:uid="{00000000-0004-0000-0500-000000000000}"/>
    <hyperlink ref="P2" location="Etusivu!A392" tooltip="Tästä pääset laittamaan olosuhde/haittalisät" display="Haittalisä" xr:uid="{00000000-0004-0000-0500-000001000000}"/>
  </hyperlinks>
  <pageMargins left="0.59055118110236227" right="0.59055118110236227" top="0.51181102362204722" bottom="0.51181102362204722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7"/>
  <sheetViews>
    <sheetView workbookViewId="0">
      <selection activeCell="N3" sqref="N3"/>
    </sheetView>
  </sheetViews>
  <sheetFormatPr defaultColWidth="9.140625" defaultRowHeight="12.75" x14ac:dyDescent="0.2"/>
  <cols>
    <col min="1" max="1" width="10.140625" style="109" customWidth="1"/>
    <col min="2" max="15" width="7.28515625" style="109" customWidth="1"/>
    <col min="16" max="16" width="9.42578125" style="109" customWidth="1"/>
    <col min="17" max="17" width="7.28515625" style="109" customWidth="1"/>
    <col min="18" max="18" width="7.42578125" style="109" customWidth="1"/>
    <col min="19" max="22" width="7.28515625" style="109" customWidth="1"/>
    <col min="23" max="23" width="7.42578125" style="109" customWidth="1"/>
    <col min="24" max="26" width="7.28515625" style="109" customWidth="1"/>
    <col min="27" max="16384" width="9.140625" style="109"/>
  </cols>
  <sheetData>
    <row r="1" spans="1:17" ht="12.75" customHeight="1" x14ac:dyDescent="0.2"/>
    <row r="2" spans="1:17" ht="15.75" customHeight="1" x14ac:dyDescent="0.25">
      <c r="A2" s="137" t="s">
        <v>272</v>
      </c>
      <c r="B2" s="137"/>
      <c r="C2" s="137"/>
      <c r="D2" s="137"/>
    </row>
    <row r="3" spans="1:17" x14ac:dyDescent="0.2">
      <c r="N3" s="325" t="s">
        <v>221</v>
      </c>
      <c r="P3" s="325" t="s">
        <v>286</v>
      </c>
    </row>
    <row r="5" spans="1:17" ht="13.5" thickBot="1" x14ac:dyDescent="0.25">
      <c r="A5" s="134" t="s">
        <v>273</v>
      </c>
      <c r="B5" s="135"/>
      <c r="C5" s="135"/>
      <c r="D5" s="135"/>
      <c r="E5" s="135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x14ac:dyDescent="0.2">
      <c r="A7" s="136"/>
      <c r="B7" s="136" t="s">
        <v>239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</row>
    <row r="8" spans="1:17" x14ac:dyDescent="0.2">
      <c r="A8" s="218" t="s">
        <v>51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16" t="s">
        <v>240</v>
      </c>
      <c r="P8" s="216" t="s">
        <v>241</v>
      </c>
      <c r="Q8" s="216" t="s">
        <v>242</v>
      </c>
    </row>
    <row r="9" spans="1:17" x14ac:dyDescent="0.2">
      <c r="A9" s="227" t="s">
        <v>15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18">
        <f>SUM(B9:N9)</f>
        <v>0</v>
      </c>
      <c r="P9" s="222"/>
      <c r="Q9" s="218">
        <f>O9-P9</f>
        <v>0</v>
      </c>
    </row>
    <row r="10" spans="1:17" x14ac:dyDescent="0.2">
      <c r="A10" s="227" t="s">
        <v>16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18">
        <f>SUM(B10:N10)</f>
        <v>0</v>
      </c>
      <c r="P10" s="222"/>
      <c r="Q10" s="218">
        <f>O10-P10</f>
        <v>0</v>
      </c>
    </row>
    <row r="11" spans="1:17" x14ac:dyDescent="0.2">
      <c r="A11" s="227" t="s">
        <v>17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18">
        <f>SUM(B11:N11)</f>
        <v>0</v>
      </c>
      <c r="P11" s="222"/>
      <c r="Q11" s="218">
        <f>O11-P11</f>
        <v>0</v>
      </c>
    </row>
    <row r="12" spans="1:17" x14ac:dyDescent="0.2">
      <c r="A12" s="227" t="s">
        <v>18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18">
        <f>SUM(B12:N12)</f>
        <v>0</v>
      </c>
      <c r="P12" s="222"/>
      <c r="Q12" s="218">
        <f>O12-P12</f>
        <v>0</v>
      </c>
    </row>
    <row r="13" spans="1:17" x14ac:dyDescent="0.2">
      <c r="A13" s="227" t="s">
        <v>283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18">
        <f>SUM(B13:N13)</f>
        <v>0</v>
      </c>
      <c r="P13" s="222"/>
      <c r="Q13" s="218">
        <f>O13-P13</f>
        <v>0</v>
      </c>
    </row>
    <row r="16" spans="1:17" ht="13.5" thickBot="1" x14ac:dyDescent="0.25">
      <c r="A16" s="134" t="s">
        <v>274</v>
      </c>
      <c r="B16" s="135"/>
      <c r="C16" s="135"/>
      <c r="D16" s="135"/>
      <c r="E16" s="135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</row>
    <row r="17" spans="1:17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</row>
    <row r="18" spans="1:17" x14ac:dyDescent="0.2">
      <c r="A18" s="136"/>
      <c r="B18" s="136" t="s">
        <v>239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x14ac:dyDescent="0.2">
      <c r="A19" s="218" t="s">
        <v>51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16" t="s">
        <v>240</v>
      </c>
      <c r="P19" s="216" t="s">
        <v>241</v>
      </c>
      <c r="Q19" s="216" t="s">
        <v>242</v>
      </c>
    </row>
    <row r="20" spans="1:17" x14ac:dyDescent="0.2">
      <c r="A20" s="227" t="s">
        <v>15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18">
        <f>SUM(B20:N20)</f>
        <v>0</v>
      </c>
      <c r="P20" s="222"/>
      <c r="Q20" s="218">
        <f>O20-P20</f>
        <v>0</v>
      </c>
    </row>
    <row r="21" spans="1:17" x14ac:dyDescent="0.2">
      <c r="A21" s="227" t="s">
        <v>16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18">
        <f>SUM(B21:N21)</f>
        <v>0</v>
      </c>
      <c r="P21" s="222"/>
      <c r="Q21" s="218">
        <f>O21-P21</f>
        <v>0</v>
      </c>
    </row>
    <row r="22" spans="1:17" x14ac:dyDescent="0.2">
      <c r="A22" s="227" t="s">
        <v>17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18">
        <f>SUM(B22:N22)</f>
        <v>0</v>
      </c>
      <c r="P22" s="222"/>
      <c r="Q22" s="218">
        <f>O22-P22</f>
        <v>0</v>
      </c>
    </row>
    <row r="23" spans="1:17" x14ac:dyDescent="0.2">
      <c r="A23" s="227" t="s">
        <v>18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18">
        <f>SUM(B23:N23)</f>
        <v>0</v>
      </c>
      <c r="P23" s="222"/>
      <c r="Q23" s="218">
        <f>O23-P23</f>
        <v>0</v>
      </c>
    </row>
    <row r="24" spans="1:17" x14ac:dyDescent="0.2">
      <c r="A24" s="227" t="s">
        <v>283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18">
        <f>SUM(B24:N24)</f>
        <v>0</v>
      </c>
      <c r="P24" s="222"/>
      <c r="Q24" s="218">
        <f>O24-P24</f>
        <v>0</v>
      </c>
    </row>
    <row r="27" spans="1:17" ht="13.5" thickBot="1" x14ac:dyDescent="0.25">
      <c r="A27" s="134" t="s">
        <v>275</v>
      </c>
      <c r="B27" s="135"/>
      <c r="C27" s="135"/>
      <c r="D27" s="135"/>
      <c r="E27" s="136"/>
      <c r="F27" s="136"/>
      <c r="G27" s="136"/>
      <c r="H27" s="136"/>
      <c r="I27" s="136"/>
      <c r="J27" s="136"/>
      <c r="K27" s="136"/>
      <c r="L27" s="136"/>
      <c r="M27" s="136"/>
      <c r="N27" s="325" t="s">
        <v>221</v>
      </c>
      <c r="O27" s="136"/>
      <c r="P27" s="325" t="s">
        <v>286</v>
      </c>
      <c r="Q27" s="136"/>
    </row>
    <row r="28" spans="1:17" x14ac:dyDescent="0.2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</row>
    <row r="29" spans="1:17" x14ac:dyDescent="0.2">
      <c r="A29" s="136"/>
      <c r="B29" s="136" t="s">
        <v>239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</row>
    <row r="30" spans="1:17" x14ac:dyDescent="0.2">
      <c r="A30" s="218" t="s">
        <v>51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16" t="s">
        <v>240</v>
      </c>
      <c r="P30" s="216" t="s">
        <v>241</v>
      </c>
      <c r="Q30" s="216" t="s">
        <v>242</v>
      </c>
    </row>
    <row r="31" spans="1:17" x14ac:dyDescent="0.2">
      <c r="A31" s="227" t="s">
        <v>15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218">
        <f>SUM(B31:N31)</f>
        <v>0</v>
      </c>
      <c r="P31" s="316"/>
      <c r="Q31" s="218">
        <f>O31-P31</f>
        <v>0</v>
      </c>
    </row>
    <row r="32" spans="1:17" x14ac:dyDescent="0.2">
      <c r="A32" s="227" t="s">
        <v>16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218">
        <f>SUM(B32:N32)</f>
        <v>0</v>
      </c>
      <c r="P32" s="316"/>
      <c r="Q32" s="218">
        <f>O32-P32</f>
        <v>0</v>
      </c>
    </row>
    <row r="33" spans="1:17" x14ac:dyDescent="0.2">
      <c r="A33" s="227" t="s">
        <v>17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218">
        <f>SUM(B33:N33)</f>
        <v>0</v>
      </c>
      <c r="P33" s="316"/>
      <c r="Q33" s="218">
        <f>O33-P33</f>
        <v>0</v>
      </c>
    </row>
    <row r="34" spans="1:17" x14ac:dyDescent="0.2">
      <c r="A34" s="227" t="s">
        <v>18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218">
        <f>SUM(B34:N34)</f>
        <v>0</v>
      </c>
      <c r="P34" s="316"/>
      <c r="Q34" s="218">
        <f>O34-P34</f>
        <v>0</v>
      </c>
    </row>
    <row r="35" spans="1:17" x14ac:dyDescent="0.2">
      <c r="A35" s="227" t="s">
        <v>283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218">
        <f>SUM(B35:N35)</f>
        <v>0</v>
      </c>
      <c r="P35" s="316"/>
      <c r="Q35" s="218">
        <f>O35-P35</f>
        <v>0</v>
      </c>
    </row>
    <row r="40" spans="1:17" ht="13.5" thickBot="1" x14ac:dyDescent="0.25">
      <c r="A40" s="134" t="s">
        <v>276</v>
      </c>
      <c r="B40" s="135"/>
      <c r="C40" s="135"/>
      <c r="D40" s="135"/>
      <c r="E40" s="135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</row>
    <row r="41" spans="1:17" x14ac:dyDescent="0.2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</row>
    <row r="42" spans="1:17" x14ac:dyDescent="0.2">
      <c r="A42" s="136"/>
      <c r="B42" s="136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</row>
    <row r="43" spans="1:17" x14ac:dyDescent="0.2">
      <c r="A43" s="218" t="s">
        <v>51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16" t="s">
        <v>240</v>
      </c>
      <c r="P43" s="216" t="s">
        <v>241</v>
      </c>
      <c r="Q43" s="216" t="s">
        <v>242</v>
      </c>
    </row>
    <row r="44" spans="1:17" x14ac:dyDescent="0.2">
      <c r="A44" s="227" t="s">
        <v>15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218">
        <f>SUM(B44:N44)</f>
        <v>0</v>
      </c>
      <c r="P44" s="316"/>
      <c r="Q44" s="218">
        <f>O44-P44</f>
        <v>0</v>
      </c>
    </row>
    <row r="45" spans="1:17" x14ac:dyDescent="0.2">
      <c r="A45" s="227" t="s">
        <v>16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218">
        <f>SUM(B45:N45)</f>
        <v>0</v>
      </c>
      <c r="P45" s="316"/>
      <c r="Q45" s="218">
        <f>O45-P45</f>
        <v>0</v>
      </c>
    </row>
    <row r="46" spans="1:17" x14ac:dyDescent="0.2">
      <c r="A46" s="227" t="s">
        <v>17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218">
        <f>SUM(B46:N46)</f>
        <v>0</v>
      </c>
      <c r="P46" s="316"/>
      <c r="Q46" s="218">
        <f>O46-P46</f>
        <v>0</v>
      </c>
    </row>
    <row r="47" spans="1:17" x14ac:dyDescent="0.2">
      <c r="A47" s="227" t="s">
        <v>18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218">
        <f>SUM(B47:N47)</f>
        <v>0</v>
      </c>
      <c r="P47" s="316"/>
      <c r="Q47" s="218">
        <f>O47-P47</f>
        <v>0</v>
      </c>
    </row>
    <row r="48" spans="1:17" x14ac:dyDescent="0.2">
      <c r="A48" s="227" t="s">
        <v>283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218">
        <f>SUM(B48:N48)</f>
        <v>0</v>
      </c>
      <c r="P48" s="316"/>
      <c r="Q48" s="218">
        <f>O48-P48</f>
        <v>0</v>
      </c>
    </row>
    <row r="49" spans="1:17" x14ac:dyDescent="0.2">
      <c r="A49" s="131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32"/>
      <c r="P49" s="133"/>
      <c r="Q49" s="132"/>
    </row>
    <row r="50" spans="1:17" x14ac:dyDescent="0.2">
      <c r="A50" s="131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32"/>
      <c r="P50" s="133"/>
      <c r="Q50" s="132"/>
    </row>
    <row r="52" spans="1:17" ht="13.5" thickBot="1" x14ac:dyDescent="0.25">
      <c r="A52" s="134" t="s">
        <v>277</v>
      </c>
      <c r="B52" s="135"/>
      <c r="C52" s="135"/>
      <c r="D52" s="135"/>
      <c r="E52" s="135"/>
      <c r="F52" s="136"/>
      <c r="G52" s="136"/>
      <c r="H52" s="136"/>
      <c r="I52" s="136"/>
      <c r="J52" s="136"/>
      <c r="K52" s="136"/>
      <c r="L52" s="136"/>
      <c r="M52" s="136"/>
      <c r="N52" s="325" t="s">
        <v>221</v>
      </c>
      <c r="O52" s="136"/>
      <c r="P52" s="325" t="s">
        <v>286</v>
      </c>
      <c r="Q52" s="136"/>
    </row>
    <row r="53" spans="1:17" x14ac:dyDescent="0.2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</row>
    <row r="54" spans="1:17" x14ac:dyDescent="0.2">
      <c r="A54" s="136"/>
      <c r="B54" s="136" t="s">
        <v>239</v>
      </c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</row>
    <row r="55" spans="1:17" x14ac:dyDescent="0.2">
      <c r="A55" s="218" t="s">
        <v>51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16" t="s">
        <v>240</v>
      </c>
      <c r="P55" s="216" t="s">
        <v>241</v>
      </c>
      <c r="Q55" s="216" t="s">
        <v>242</v>
      </c>
    </row>
    <row r="56" spans="1:17" x14ac:dyDescent="0.2">
      <c r="A56" s="227" t="s">
        <v>15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218">
        <f>SUM(B56:N56)</f>
        <v>0</v>
      </c>
      <c r="P56" s="316"/>
      <c r="Q56" s="218">
        <f>O56-P56</f>
        <v>0</v>
      </c>
    </row>
    <row r="57" spans="1:17" x14ac:dyDescent="0.2">
      <c r="A57" s="227" t="s">
        <v>16</v>
      </c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218">
        <f>SUM(B57:N57)</f>
        <v>0</v>
      </c>
      <c r="P57" s="316"/>
      <c r="Q57" s="218">
        <f>O57-P57</f>
        <v>0</v>
      </c>
    </row>
    <row r="58" spans="1:17" x14ac:dyDescent="0.2">
      <c r="A58" s="227" t="s">
        <v>17</v>
      </c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218">
        <f>SUM(B58:N58)</f>
        <v>0</v>
      </c>
      <c r="P58" s="316"/>
      <c r="Q58" s="218">
        <f>O58-P58</f>
        <v>0</v>
      </c>
    </row>
    <row r="59" spans="1:17" x14ac:dyDescent="0.2">
      <c r="A59" s="227" t="s">
        <v>18</v>
      </c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218">
        <f>SUM(B59:N59)</f>
        <v>0</v>
      </c>
      <c r="P59" s="316"/>
      <c r="Q59" s="218">
        <f>O59-P59</f>
        <v>0</v>
      </c>
    </row>
    <row r="60" spans="1:17" x14ac:dyDescent="0.2">
      <c r="A60" s="227" t="s">
        <v>283</v>
      </c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218">
        <f>SUM(B60:N60)</f>
        <v>0</v>
      </c>
      <c r="P60" s="316"/>
      <c r="Q60" s="218">
        <f>O60-P60</f>
        <v>0</v>
      </c>
    </row>
    <row r="61" spans="1:17" x14ac:dyDescent="0.2">
      <c r="A61" s="131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32"/>
      <c r="P61" s="133"/>
      <c r="Q61" s="132"/>
    </row>
    <row r="64" spans="1:17" ht="13.5" thickBot="1" x14ac:dyDescent="0.25">
      <c r="A64" s="134" t="s">
        <v>278</v>
      </c>
      <c r="B64" s="135"/>
      <c r="C64" s="135"/>
      <c r="D64" s="135"/>
      <c r="E64" s="135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</row>
    <row r="65" spans="1:17" x14ac:dyDescent="0.2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</row>
    <row r="66" spans="1:17" x14ac:dyDescent="0.2">
      <c r="A66" s="136"/>
      <c r="B66" s="136" t="s">
        <v>239</v>
      </c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</row>
    <row r="67" spans="1:17" x14ac:dyDescent="0.2">
      <c r="A67" s="218" t="s">
        <v>51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16" t="s">
        <v>240</v>
      </c>
      <c r="P67" s="216" t="s">
        <v>241</v>
      </c>
      <c r="Q67" s="216" t="s">
        <v>242</v>
      </c>
    </row>
    <row r="68" spans="1:17" x14ac:dyDescent="0.2">
      <c r="A68" s="227" t="s">
        <v>15</v>
      </c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218">
        <f>SUM(B68:N68)</f>
        <v>0</v>
      </c>
      <c r="P68" s="316"/>
      <c r="Q68" s="218">
        <f>O68-P68</f>
        <v>0</v>
      </c>
    </row>
    <row r="69" spans="1:17" x14ac:dyDescent="0.2">
      <c r="A69" s="227" t="s">
        <v>16</v>
      </c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218">
        <f>SUM(B69:N69)</f>
        <v>0</v>
      </c>
      <c r="P69" s="316"/>
      <c r="Q69" s="218">
        <f>O69-P69</f>
        <v>0</v>
      </c>
    </row>
    <row r="70" spans="1:17" x14ac:dyDescent="0.2">
      <c r="A70" s="227" t="s">
        <v>17</v>
      </c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218">
        <f>SUM(B70:N70)</f>
        <v>0</v>
      </c>
      <c r="P70" s="316"/>
      <c r="Q70" s="218">
        <f>O70-P70</f>
        <v>0</v>
      </c>
    </row>
    <row r="71" spans="1:17" x14ac:dyDescent="0.2">
      <c r="A71" s="227" t="s">
        <v>18</v>
      </c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218">
        <f>SUM(B71:N71)</f>
        <v>0</v>
      </c>
      <c r="P71" s="316"/>
      <c r="Q71" s="218">
        <f>O71-P71</f>
        <v>0</v>
      </c>
    </row>
    <row r="72" spans="1:17" x14ac:dyDescent="0.2">
      <c r="A72" s="227" t="s">
        <v>283</v>
      </c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218">
        <f>SUM(B72:N72)</f>
        <v>0</v>
      </c>
      <c r="P72" s="316"/>
      <c r="Q72" s="218">
        <f>O72-P72</f>
        <v>0</v>
      </c>
    </row>
    <row r="73" spans="1:17" x14ac:dyDescent="0.2">
      <c r="A73" s="131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32"/>
      <c r="P73" s="133"/>
      <c r="Q73" s="132"/>
    </row>
    <row r="74" spans="1:17" x14ac:dyDescent="0.2">
      <c r="A74" s="131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32"/>
      <c r="P74" s="133"/>
      <c r="Q74" s="132"/>
    </row>
    <row r="75" spans="1:17" x14ac:dyDescent="0.2">
      <c r="A75" s="131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32"/>
      <c r="P75" s="133"/>
      <c r="Q75" s="132"/>
    </row>
    <row r="76" spans="1:17" x14ac:dyDescent="0.2">
      <c r="A76" s="131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32"/>
      <c r="P76" s="133"/>
      <c r="Q76" s="132"/>
    </row>
    <row r="77" spans="1:17" x14ac:dyDescent="0.2">
      <c r="A77" s="131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32"/>
      <c r="P77" s="133"/>
      <c r="Q77" s="132"/>
    </row>
    <row r="78" spans="1:17" ht="13.5" thickBot="1" x14ac:dyDescent="0.25">
      <c r="A78" s="134" t="s">
        <v>279</v>
      </c>
      <c r="B78" s="135"/>
      <c r="C78" s="135"/>
      <c r="D78" s="135"/>
      <c r="E78" s="135"/>
      <c r="F78" s="136"/>
      <c r="G78" s="136"/>
      <c r="H78" s="136"/>
      <c r="I78" s="136"/>
      <c r="J78" s="136"/>
      <c r="K78" s="136"/>
      <c r="L78" s="136"/>
      <c r="M78" s="136"/>
      <c r="N78" s="325" t="s">
        <v>221</v>
      </c>
      <c r="O78" s="136"/>
      <c r="P78" s="325" t="s">
        <v>286</v>
      </c>
      <c r="Q78" s="136"/>
    </row>
    <row r="79" spans="1:17" x14ac:dyDescent="0.2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</row>
    <row r="80" spans="1:17" x14ac:dyDescent="0.2">
      <c r="A80" s="136"/>
      <c r="B80" s="136" t="s">
        <v>239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</row>
    <row r="81" spans="1:17" x14ac:dyDescent="0.2">
      <c r="A81" s="218" t="s">
        <v>51</v>
      </c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16" t="s">
        <v>240</v>
      </c>
      <c r="P81" s="216" t="s">
        <v>241</v>
      </c>
      <c r="Q81" s="216" t="s">
        <v>242</v>
      </c>
    </row>
    <row r="82" spans="1:17" x14ac:dyDescent="0.2">
      <c r="A82" s="227" t="s">
        <v>15</v>
      </c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218">
        <f>SUM(B82:N82)</f>
        <v>0</v>
      </c>
      <c r="P82" s="316"/>
      <c r="Q82" s="218">
        <f>O82-P82</f>
        <v>0</v>
      </c>
    </row>
    <row r="83" spans="1:17" x14ac:dyDescent="0.2">
      <c r="A83" s="227" t="s">
        <v>16</v>
      </c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218">
        <f>SUM(B83:N83)</f>
        <v>0</v>
      </c>
      <c r="P83" s="316"/>
      <c r="Q83" s="218">
        <f>O83-P83</f>
        <v>0</v>
      </c>
    </row>
    <row r="84" spans="1:17" x14ac:dyDescent="0.2">
      <c r="A84" s="227" t="s">
        <v>17</v>
      </c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218">
        <f>SUM(B84:N84)</f>
        <v>0</v>
      </c>
      <c r="P84" s="316"/>
      <c r="Q84" s="218">
        <f>O84-P84</f>
        <v>0</v>
      </c>
    </row>
    <row r="85" spans="1:17" x14ac:dyDescent="0.2">
      <c r="A85" s="227" t="s">
        <v>18</v>
      </c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218">
        <f>SUM(B85:N85)</f>
        <v>0</v>
      </c>
      <c r="P85" s="316"/>
      <c r="Q85" s="218">
        <f>O85-P85</f>
        <v>0</v>
      </c>
    </row>
    <row r="86" spans="1:17" x14ac:dyDescent="0.2">
      <c r="A86" s="227" t="s">
        <v>283</v>
      </c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218">
        <f>SUM(B86:N86)</f>
        <v>0</v>
      </c>
      <c r="P86" s="316"/>
      <c r="Q86" s="218">
        <f>O86-P86</f>
        <v>0</v>
      </c>
    </row>
    <row r="90" spans="1:17" ht="13.5" thickBot="1" x14ac:dyDescent="0.25">
      <c r="A90" s="134" t="s">
        <v>280</v>
      </c>
      <c r="B90" s="135"/>
      <c r="C90" s="135"/>
      <c r="D90" s="135"/>
      <c r="E90" s="135"/>
      <c r="F90" s="135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</row>
    <row r="91" spans="1:17" x14ac:dyDescent="0.2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</row>
    <row r="92" spans="1:17" x14ac:dyDescent="0.2">
      <c r="A92" s="136"/>
      <c r="B92" s="136" t="s">
        <v>239</v>
      </c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</row>
    <row r="93" spans="1:17" x14ac:dyDescent="0.2">
      <c r="A93" s="218" t="s">
        <v>51</v>
      </c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16" t="s">
        <v>240</v>
      </c>
      <c r="P93" s="216" t="s">
        <v>241</v>
      </c>
      <c r="Q93" s="216" t="s">
        <v>242</v>
      </c>
    </row>
    <row r="94" spans="1:17" x14ac:dyDescent="0.2">
      <c r="A94" s="227" t="s">
        <v>15</v>
      </c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218">
        <f>SUM(B94:N94)</f>
        <v>0</v>
      </c>
      <c r="P94" s="316"/>
      <c r="Q94" s="218">
        <f>O94-P94</f>
        <v>0</v>
      </c>
    </row>
    <row r="95" spans="1:17" x14ac:dyDescent="0.2">
      <c r="A95" s="227" t="s">
        <v>16</v>
      </c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218">
        <f>SUM(B95:N95)</f>
        <v>0</v>
      </c>
      <c r="P95" s="316"/>
      <c r="Q95" s="218">
        <f>O95-P95</f>
        <v>0</v>
      </c>
    </row>
    <row r="96" spans="1:17" x14ac:dyDescent="0.2">
      <c r="A96" s="227" t="s">
        <v>17</v>
      </c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218">
        <f>SUM(B96:N96)</f>
        <v>0</v>
      </c>
      <c r="P96" s="316"/>
      <c r="Q96" s="218">
        <f>O96-P96</f>
        <v>0</v>
      </c>
    </row>
    <row r="97" spans="1:17" x14ac:dyDescent="0.2">
      <c r="A97" s="227" t="s">
        <v>18</v>
      </c>
      <c r="B97" s="315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218">
        <f>SUM(B97:N97)</f>
        <v>0</v>
      </c>
      <c r="P97" s="316"/>
      <c r="Q97" s="218">
        <f>O97-P97</f>
        <v>0</v>
      </c>
    </row>
    <row r="98" spans="1:17" x14ac:dyDescent="0.2">
      <c r="A98" s="227" t="s">
        <v>283</v>
      </c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218">
        <f>SUM(B98:N98)</f>
        <v>0</v>
      </c>
      <c r="P98" s="316"/>
      <c r="Q98" s="218">
        <f>O98-P98</f>
        <v>0</v>
      </c>
    </row>
    <row r="102" spans="1:17" ht="13.5" thickBot="1" x14ac:dyDescent="0.25">
      <c r="A102" s="134" t="s">
        <v>281</v>
      </c>
      <c r="B102" s="135"/>
      <c r="C102" s="135"/>
      <c r="D102" s="135"/>
      <c r="E102" s="135"/>
      <c r="F102" s="136"/>
      <c r="G102" s="136"/>
      <c r="H102" s="136"/>
      <c r="I102" s="136"/>
      <c r="J102" s="136"/>
      <c r="K102" s="136"/>
      <c r="L102" s="136"/>
      <c r="M102" s="136"/>
      <c r="N102" s="325" t="s">
        <v>221</v>
      </c>
      <c r="O102" s="136"/>
      <c r="P102" s="325" t="s">
        <v>286</v>
      </c>
      <c r="Q102" s="136"/>
    </row>
    <row r="103" spans="1:17" x14ac:dyDescent="0.2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</row>
    <row r="104" spans="1:17" x14ac:dyDescent="0.2">
      <c r="A104" s="136"/>
      <c r="B104" s="136" t="s">
        <v>239</v>
      </c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</row>
    <row r="105" spans="1:17" x14ac:dyDescent="0.2">
      <c r="A105" s="218" t="s">
        <v>51</v>
      </c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16" t="s">
        <v>240</v>
      </c>
      <c r="P105" s="216" t="s">
        <v>241</v>
      </c>
      <c r="Q105" s="216" t="s">
        <v>242</v>
      </c>
    </row>
    <row r="106" spans="1:17" x14ac:dyDescent="0.2">
      <c r="A106" s="227" t="s">
        <v>15</v>
      </c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218">
        <f>SUM(B106:N106)</f>
        <v>0</v>
      </c>
      <c r="P106" s="316"/>
      <c r="Q106" s="218">
        <f>O106-P106</f>
        <v>0</v>
      </c>
    </row>
    <row r="107" spans="1:17" x14ac:dyDescent="0.2">
      <c r="A107" s="227" t="s">
        <v>16</v>
      </c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218">
        <f>SUM(B107:N107)</f>
        <v>0</v>
      </c>
      <c r="P107" s="316"/>
      <c r="Q107" s="218">
        <f>O107-P107</f>
        <v>0</v>
      </c>
    </row>
    <row r="108" spans="1:17" x14ac:dyDescent="0.2">
      <c r="A108" s="227" t="s">
        <v>17</v>
      </c>
      <c r="B108" s="315"/>
      <c r="C108" s="315"/>
      <c r="D108" s="315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218">
        <f>SUM(B108:N108)</f>
        <v>0</v>
      </c>
      <c r="P108" s="316"/>
      <c r="Q108" s="218">
        <f>O108-P108</f>
        <v>0</v>
      </c>
    </row>
    <row r="109" spans="1:17" x14ac:dyDescent="0.2">
      <c r="A109" s="227" t="s">
        <v>18</v>
      </c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218">
        <f>SUM(B109:N109)</f>
        <v>0</v>
      </c>
      <c r="P109" s="316"/>
      <c r="Q109" s="218">
        <f>O109-P109</f>
        <v>0</v>
      </c>
    </row>
    <row r="110" spans="1:17" x14ac:dyDescent="0.2">
      <c r="A110" s="227" t="s">
        <v>283</v>
      </c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218">
        <f>SUM(B110:N110)</f>
        <v>0</v>
      </c>
      <c r="P110" s="316"/>
      <c r="Q110" s="218">
        <f>O110-P110</f>
        <v>0</v>
      </c>
    </row>
    <row r="111" spans="1:17" x14ac:dyDescent="0.2">
      <c r="A111" s="131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32"/>
      <c r="P111" s="133"/>
      <c r="Q111" s="132"/>
    </row>
    <row r="112" spans="1:17" x14ac:dyDescent="0.2">
      <c r="A112" s="131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32"/>
      <c r="P112" s="133"/>
      <c r="Q112" s="132"/>
    </row>
    <row r="113" spans="1:17" x14ac:dyDescent="0.2">
      <c r="A113" s="131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32"/>
      <c r="P113" s="133"/>
      <c r="Q113" s="132"/>
    </row>
    <row r="114" spans="1:17" x14ac:dyDescent="0.2">
      <c r="A114" s="131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32"/>
      <c r="P114" s="133"/>
      <c r="Q114" s="132"/>
    </row>
    <row r="117" spans="1:17" ht="13.5" thickBot="1" x14ac:dyDescent="0.25">
      <c r="A117" s="134" t="s">
        <v>282</v>
      </c>
      <c r="B117" s="135"/>
      <c r="C117" s="135"/>
      <c r="D117" s="135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</row>
    <row r="118" spans="1:17" x14ac:dyDescent="0.2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</row>
    <row r="119" spans="1:17" x14ac:dyDescent="0.2">
      <c r="A119" s="136"/>
      <c r="B119" s="136" t="s">
        <v>239</v>
      </c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</row>
    <row r="120" spans="1:17" x14ac:dyDescent="0.2">
      <c r="A120" s="218" t="s">
        <v>51</v>
      </c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16" t="s">
        <v>240</v>
      </c>
      <c r="P120" s="216" t="s">
        <v>241</v>
      </c>
      <c r="Q120" s="216" t="s">
        <v>242</v>
      </c>
    </row>
    <row r="121" spans="1:17" x14ac:dyDescent="0.2">
      <c r="A121" s="227" t="s">
        <v>15</v>
      </c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218">
        <f>SUM(B121:N121)</f>
        <v>0</v>
      </c>
      <c r="P121" s="316"/>
      <c r="Q121" s="218">
        <f>O121-P121</f>
        <v>0</v>
      </c>
    </row>
    <row r="122" spans="1:17" x14ac:dyDescent="0.2">
      <c r="A122" s="227" t="s">
        <v>16</v>
      </c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218">
        <f>SUM(B122:N122)</f>
        <v>0</v>
      </c>
      <c r="P122" s="316"/>
      <c r="Q122" s="218">
        <f>O122-P122</f>
        <v>0</v>
      </c>
    </row>
    <row r="123" spans="1:17" x14ac:dyDescent="0.2">
      <c r="A123" s="227" t="s">
        <v>17</v>
      </c>
      <c r="B123" s="315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218">
        <f>SUM(B123:N123)</f>
        <v>0</v>
      </c>
      <c r="P123" s="316"/>
      <c r="Q123" s="218">
        <f>O123-P123</f>
        <v>0</v>
      </c>
    </row>
    <row r="124" spans="1:17" x14ac:dyDescent="0.2">
      <c r="A124" s="227" t="s">
        <v>18</v>
      </c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218">
        <f>SUM(B124:N124)</f>
        <v>0</v>
      </c>
      <c r="P124" s="316"/>
      <c r="Q124" s="218">
        <f>O124-P124</f>
        <v>0</v>
      </c>
    </row>
    <row r="125" spans="1:17" x14ac:dyDescent="0.2">
      <c r="A125" s="227" t="s">
        <v>283</v>
      </c>
      <c r="B125" s="315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218">
        <f>SUM(B125:N125)</f>
        <v>0</v>
      </c>
      <c r="P125" s="316"/>
      <c r="Q125" s="218">
        <f>O125-P125</f>
        <v>0</v>
      </c>
    </row>
    <row r="129" spans="1:17" ht="13.5" thickBot="1" x14ac:dyDescent="0.25">
      <c r="A129" s="134" t="s">
        <v>284</v>
      </c>
      <c r="B129" s="135"/>
      <c r="C129" s="135"/>
      <c r="D129" s="135"/>
      <c r="E129" s="135"/>
      <c r="F129" s="136"/>
      <c r="G129" s="136"/>
      <c r="H129" s="136"/>
      <c r="I129" s="136"/>
      <c r="J129" s="136"/>
      <c r="K129" s="136"/>
      <c r="L129" s="136"/>
      <c r="M129" s="136"/>
      <c r="N129" s="325" t="s">
        <v>221</v>
      </c>
      <c r="O129" s="136"/>
      <c r="P129" s="325" t="s">
        <v>286</v>
      </c>
      <c r="Q129" s="136"/>
    </row>
    <row r="130" spans="1:17" x14ac:dyDescent="0.2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</row>
    <row r="131" spans="1:17" x14ac:dyDescent="0.2">
      <c r="A131" s="136"/>
      <c r="B131" s="136" t="s">
        <v>239</v>
      </c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</row>
    <row r="132" spans="1:17" x14ac:dyDescent="0.2">
      <c r="A132" s="218" t="s">
        <v>488</v>
      </c>
      <c r="B132" s="220"/>
      <c r="C132" s="220"/>
      <c r="D132" s="220"/>
      <c r="E132" s="220"/>
      <c r="F132" s="220"/>
      <c r="G132" s="220"/>
      <c r="H132" s="220"/>
      <c r="I132" s="220"/>
      <c r="J132" s="220"/>
      <c r="K132" s="220"/>
      <c r="L132" s="220"/>
      <c r="M132" s="220"/>
      <c r="N132" s="220"/>
      <c r="O132" s="216" t="s">
        <v>240</v>
      </c>
      <c r="P132" s="216" t="s">
        <v>241</v>
      </c>
      <c r="Q132" s="216" t="s">
        <v>242</v>
      </c>
    </row>
    <row r="133" spans="1:17" x14ac:dyDescent="0.2">
      <c r="A133" s="223">
        <v>-12</v>
      </c>
      <c r="B133" s="315"/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218">
        <f>SUM(B133:N133)</f>
        <v>0</v>
      </c>
      <c r="P133" s="316"/>
      <c r="Q133" s="218">
        <f>O133-P133</f>
        <v>0</v>
      </c>
    </row>
    <row r="134" spans="1:17" x14ac:dyDescent="0.2">
      <c r="A134" s="223">
        <v>-23</v>
      </c>
      <c r="B134" s="315"/>
      <c r="C134" s="315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218">
        <f>SUM(B134:N134)</f>
        <v>0</v>
      </c>
      <c r="P134" s="316"/>
      <c r="Q134" s="218">
        <f>O134-P134</f>
        <v>0</v>
      </c>
    </row>
    <row r="135" spans="1:17" x14ac:dyDescent="0.2">
      <c r="A135" s="223">
        <v>-40</v>
      </c>
      <c r="B135" s="315"/>
      <c r="C135" s="315"/>
      <c r="D135" s="315"/>
      <c r="E135" s="315"/>
      <c r="F135" s="315"/>
      <c r="G135" s="315"/>
      <c r="H135" s="315"/>
      <c r="I135" s="315"/>
      <c r="J135" s="315"/>
      <c r="K135" s="315"/>
      <c r="L135" s="315"/>
      <c r="M135" s="315"/>
      <c r="N135" s="315"/>
      <c r="O135" s="218">
        <f>SUM(B135:N135)</f>
        <v>0</v>
      </c>
      <c r="P135" s="316"/>
      <c r="Q135" s="218">
        <f>O135-P135</f>
        <v>0</v>
      </c>
    </row>
    <row r="136" spans="1:17" x14ac:dyDescent="0.2">
      <c r="A136" s="223">
        <v>-56</v>
      </c>
      <c r="B136" s="315"/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218">
        <f>SUM(B136:N136)</f>
        <v>0</v>
      </c>
      <c r="P136" s="316"/>
      <c r="Q136" s="218">
        <f>O136-P136</f>
        <v>0</v>
      </c>
    </row>
    <row r="137" spans="1:17" x14ac:dyDescent="0.2">
      <c r="A137" s="223">
        <v>-71</v>
      </c>
      <c r="B137" s="315"/>
      <c r="C137" s="315"/>
      <c r="D137" s="315"/>
      <c r="E137" s="315"/>
      <c r="F137" s="315"/>
      <c r="G137" s="315"/>
      <c r="H137" s="315"/>
      <c r="I137" s="315"/>
      <c r="J137" s="315"/>
      <c r="K137" s="315"/>
      <c r="L137" s="315"/>
      <c r="M137" s="315"/>
      <c r="N137" s="315"/>
      <c r="O137" s="218">
        <f>SUM(B137:N137)</f>
        <v>0</v>
      </c>
      <c r="P137" s="316"/>
      <c r="Q137" s="218">
        <f>O137-P137</f>
        <v>0</v>
      </c>
    </row>
    <row r="139" spans="1:17" ht="13.5" thickBot="1" x14ac:dyDescent="0.25">
      <c r="A139" s="134" t="s">
        <v>285</v>
      </c>
      <c r="B139" s="135"/>
      <c r="C139" s="135"/>
      <c r="D139" s="135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</row>
    <row r="140" spans="1:17" x14ac:dyDescent="0.2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</row>
    <row r="141" spans="1:17" x14ac:dyDescent="0.2">
      <c r="A141" s="136"/>
      <c r="B141" s="136" t="s">
        <v>239</v>
      </c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</row>
    <row r="142" spans="1:17" x14ac:dyDescent="0.2">
      <c r="A142" s="218" t="s">
        <v>45</v>
      </c>
      <c r="B142" s="220"/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216" t="s">
        <v>240</v>
      </c>
      <c r="P142" s="216" t="s">
        <v>241</v>
      </c>
      <c r="Q142" s="216" t="s">
        <v>242</v>
      </c>
    </row>
    <row r="143" spans="1:17" x14ac:dyDescent="0.2">
      <c r="A143" s="223">
        <v>-12</v>
      </c>
      <c r="B143" s="315"/>
      <c r="C143" s="315"/>
      <c r="D143" s="315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218">
        <f>SUM(B143:N143)</f>
        <v>0</v>
      </c>
      <c r="P143" s="316"/>
      <c r="Q143" s="218">
        <f>O143-P143</f>
        <v>0</v>
      </c>
    </row>
    <row r="144" spans="1:17" x14ac:dyDescent="0.2">
      <c r="A144" s="223">
        <v>-23</v>
      </c>
      <c r="B144" s="315"/>
      <c r="C144" s="315"/>
      <c r="D144" s="315"/>
      <c r="E144" s="315"/>
      <c r="F144" s="315"/>
      <c r="G144" s="315"/>
      <c r="H144" s="315"/>
      <c r="I144" s="315"/>
      <c r="J144" s="315"/>
      <c r="K144" s="315"/>
      <c r="L144" s="315"/>
      <c r="M144" s="315"/>
      <c r="N144" s="315"/>
      <c r="O144" s="218">
        <f>SUM(B144:N144)</f>
        <v>0</v>
      </c>
      <c r="P144" s="316"/>
      <c r="Q144" s="218">
        <f>O144-P144</f>
        <v>0</v>
      </c>
    </row>
    <row r="145" spans="1:17" x14ac:dyDescent="0.2">
      <c r="A145" s="223">
        <v>-40</v>
      </c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218">
        <f>SUM(B145:N145)</f>
        <v>0</v>
      </c>
      <c r="P145" s="316"/>
      <c r="Q145" s="218">
        <f>O145-P145</f>
        <v>0</v>
      </c>
    </row>
    <row r="146" spans="1:17" x14ac:dyDescent="0.2">
      <c r="A146" s="223">
        <v>-56</v>
      </c>
      <c r="B146" s="315"/>
      <c r="C146" s="315"/>
      <c r="D146" s="315"/>
      <c r="E146" s="315"/>
      <c r="F146" s="315"/>
      <c r="G146" s="315"/>
      <c r="H146" s="315"/>
      <c r="I146" s="315"/>
      <c r="J146" s="315"/>
      <c r="K146" s="315"/>
      <c r="L146" s="315"/>
      <c r="M146" s="315"/>
      <c r="N146" s="315"/>
      <c r="O146" s="218">
        <f>SUM(B146:N146)</f>
        <v>0</v>
      </c>
      <c r="P146" s="316"/>
      <c r="Q146" s="218">
        <f>O146-P146</f>
        <v>0</v>
      </c>
    </row>
    <row r="147" spans="1:17" x14ac:dyDescent="0.2">
      <c r="A147" s="223">
        <v>-71</v>
      </c>
      <c r="B147" s="315"/>
      <c r="C147" s="315"/>
      <c r="D147" s="315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218">
        <f>SUM(B147:N147)</f>
        <v>0</v>
      </c>
      <c r="P147" s="316"/>
      <c r="Q147" s="218">
        <f>O147-P147</f>
        <v>0</v>
      </c>
    </row>
  </sheetData>
  <sheetProtection algorithmName="SHA-512" hashValue="Qd3pU4Kbt+b/sxSo0iFMP9F882ZW6Bpc6Yq7fVYRgUdPae0jxO44423aOQIs3vRjiwc7EHTS6ttkyHHd6kKIfw==" saltValue="bk4DYOjHOqIMbSebt9/y4A==" spinCount="100000" sheet="1"/>
  <hyperlinks>
    <hyperlink ref="N3" location="Etusivu!A1" tooltip="Tästä pääset etusivulle" display="Etusivu" xr:uid="{00000000-0004-0000-0600-000000000000}"/>
    <hyperlink ref="N27" location="Etusivu!A1" tooltip="Tästä pääset etusivulle" display="Etusivu" xr:uid="{00000000-0004-0000-0600-000001000000}"/>
    <hyperlink ref="N52" location="Etusivu!A1" tooltip="Tästä pääset etusivulle" display="Etusivu" xr:uid="{00000000-0004-0000-0600-000002000000}"/>
    <hyperlink ref="N78" location="Etusivu!A1" tooltip="Tästä pääset etusivulle" display="Etusivu" xr:uid="{00000000-0004-0000-0600-000003000000}"/>
    <hyperlink ref="N102" location="Etusivu!A1" tooltip="Tästä pääset etusivulle" display="Etusivu" xr:uid="{00000000-0004-0000-0600-000004000000}"/>
    <hyperlink ref="N129" location="Etusivu!A1" tooltip="Tästä pääset etusivulle" display="Etusivu" xr:uid="{00000000-0004-0000-0600-000005000000}"/>
    <hyperlink ref="P3" location="Etusivu!A392" tooltip="Tästä pääset laittamaan olosuhde/haittalisät" display="Haittalisä" xr:uid="{00000000-0004-0000-0600-000006000000}"/>
    <hyperlink ref="P27" location="Etusivu!A392" tooltip="Tästä pääset laittamaan olosuhde/haittalisät" display="Haittalisä" xr:uid="{00000000-0004-0000-0600-000007000000}"/>
    <hyperlink ref="P52" location="Etusivu!A392" tooltip="Tästä pääset laittamaan olosuhde/haittalisät" display="Haittalisä" xr:uid="{00000000-0004-0000-0600-000008000000}"/>
    <hyperlink ref="P78" location="Etusivu!A392" tooltip="Tästä pääset laittamaan olosuhde/haittalisät" display="Haittalisä" xr:uid="{00000000-0004-0000-0600-000009000000}"/>
    <hyperlink ref="P102" location="Etusivu!A392" tooltip="Tästä pääset laittamaan olosuhde/haittalisät" display="Haittalisä" xr:uid="{00000000-0004-0000-0600-00000A000000}"/>
    <hyperlink ref="P129" location="Etusivu!A392" tooltip="Tästä pääset laittamaan olosuhde/haittalisät" display="Haittalisä" xr:uid="{00000000-0004-0000-0600-00000B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O133:O137 O143:O14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1"/>
  <sheetViews>
    <sheetView workbookViewId="0">
      <selection activeCell="E19" sqref="E19"/>
    </sheetView>
  </sheetViews>
  <sheetFormatPr defaultColWidth="9.140625" defaultRowHeight="12.75" x14ac:dyDescent="0.2"/>
  <cols>
    <col min="1" max="16384" width="9.140625" style="109"/>
  </cols>
  <sheetData>
    <row r="1" spans="1:9" ht="31.5" customHeight="1" x14ac:dyDescent="0.25">
      <c r="A1" s="229"/>
      <c r="B1" s="230" t="s">
        <v>77</v>
      </c>
      <c r="C1" s="231"/>
      <c r="D1" s="231"/>
      <c r="E1" s="231"/>
      <c r="F1" s="231"/>
      <c r="G1" s="231"/>
      <c r="H1" s="232"/>
      <c r="I1" s="233"/>
    </row>
    <row r="2" spans="1:9" x14ac:dyDescent="0.2">
      <c r="A2" s="110"/>
      <c r="I2" s="111"/>
    </row>
    <row r="3" spans="1:9" ht="18" customHeight="1" x14ac:dyDescent="0.2">
      <c r="A3" s="234" t="s">
        <v>78</v>
      </c>
      <c r="B3" s="235"/>
      <c r="C3" s="235" t="s">
        <v>79</v>
      </c>
      <c r="D3" s="235"/>
      <c r="E3" s="235"/>
      <c r="I3" s="236"/>
    </row>
    <row r="4" spans="1:9" ht="18" customHeight="1" x14ac:dyDescent="0.2">
      <c r="A4" s="234" t="s">
        <v>121</v>
      </c>
      <c r="B4" s="235"/>
      <c r="C4" s="235" t="s">
        <v>80</v>
      </c>
      <c r="D4" s="235"/>
      <c r="E4" s="235"/>
      <c r="I4" s="111"/>
    </row>
    <row r="5" spans="1:9" ht="18" customHeight="1" x14ac:dyDescent="0.2">
      <c r="A5" s="234" t="s">
        <v>81</v>
      </c>
      <c r="B5" s="235"/>
      <c r="C5" s="235" t="s">
        <v>82</v>
      </c>
      <c r="D5" s="235"/>
      <c r="E5" s="235"/>
      <c r="I5" s="111"/>
    </row>
    <row r="6" spans="1:9" ht="18" customHeight="1" x14ac:dyDescent="0.2">
      <c r="A6" s="234" t="s">
        <v>83</v>
      </c>
      <c r="B6" s="235"/>
      <c r="C6" s="235" t="s">
        <v>84</v>
      </c>
      <c r="D6" s="235"/>
      <c r="E6" s="235"/>
      <c r="I6" s="111"/>
    </row>
    <row r="7" spans="1:9" ht="18" customHeight="1" x14ac:dyDescent="0.2">
      <c r="A7" s="234" t="s">
        <v>85</v>
      </c>
      <c r="B7" s="235"/>
      <c r="C7" s="235" t="s">
        <v>86</v>
      </c>
      <c r="D7" s="235"/>
      <c r="E7" s="235"/>
      <c r="I7" s="111"/>
    </row>
    <row r="8" spans="1:9" ht="18" customHeight="1" x14ac:dyDescent="0.2">
      <c r="A8" s="234"/>
      <c r="B8" s="235"/>
      <c r="C8" s="235"/>
      <c r="D8" s="235"/>
      <c r="E8" s="235"/>
      <c r="I8" s="111"/>
    </row>
    <row r="9" spans="1:9" ht="18" customHeight="1" x14ac:dyDescent="0.2">
      <c r="A9" s="234" t="s">
        <v>120</v>
      </c>
      <c r="B9" s="235"/>
      <c r="C9" s="235" t="s">
        <v>87</v>
      </c>
      <c r="D9" s="235"/>
      <c r="E9" s="235"/>
      <c r="I9" s="111"/>
    </row>
    <row r="10" spans="1:9" ht="18" customHeight="1" x14ac:dyDescent="0.2">
      <c r="A10" s="234"/>
      <c r="B10" s="235"/>
      <c r="C10" s="235"/>
      <c r="D10" s="235"/>
      <c r="E10" s="235"/>
      <c r="I10" s="111"/>
    </row>
    <row r="11" spans="1:9" ht="18" customHeight="1" x14ac:dyDescent="0.2">
      <c r="A11" s="234" t="s">
        <v>88</v>
      </c>
      <c r="B11" s="235"/>
      <c r="C11" s="235" t="s">
        <v>89</v>
      </c>
      <c r="D11" s="235"/>
      <c r="E11" s="235"/>
      <c r="I11" s="111"/>
    </row>
    <row r="12" spans="1:9" ht="18" customHeight="1" x14ac:dyDescent="0.2">
      <c r="A12" s="234" t="s">
        <v>90</v>
      </c>
      <c r="B12" s="235"/>
      <c r="C12" s="235" t="s">
        <v>91</v>
      </c>
      <c r="D12" s="235"/>
      <c r="E12" s="235"/>
      <c r="I12" s="111"/>
    </row>
    <row r="13" spans="1:9" ht="18" customHeight="1" x14ac:dyDescent="0.2">
      <c r="A13" s="234"/>
      <c r="B13" s="235"/>
      <c r="C13" s="235"/>
      <c r="D13" s="235"/>
      <c r="E13" s="235"/>
      <c r="I13" s="111"/>
    </row>
    <row r="14" spans="1:9" ht="18" customHeight="1" x14ac:dyDescent="0.2">
      <c r="A14" s="234" t="s">
        <v>92</v>
      </c>
      <c r="B14" s="235"/>
      <c r="C14" s="235" t="s">
        <v>93</v>
      </c>
      <c r="D14" s="235"/>
      <c r="E14" s="235"/>
      <c r="I14" s="111"/>
    </row>
    <row r="15" spans="1:9" ht="18" customHeight="1" x14ac:dyDescent="0.2">
      <c r="A15" s="234"/>
      <c r="B15" s="235"/>
      <c r="C15" s="235"/>
      <c r="D15" s="235"/>
      <c r="E15" s="235"/>
      <c r="I15" s="111"/>
    </row>
    <row r="16" spans="1:9" ht="18" customHeight="1" x14ac:dyDescent="0.2">
      <c r="A16" s="234" t="s">
        <v>94</v>
      </c>
      <c r="B16" s="235"/>
      <c r="C16" s="235" t="s">
        <v>95</v>
      </c>
      <c r="D16" s="235"/>
      <c r="E16" s="235"/>
      <c r="I16" s="111"/>
    </row>
    <row r="17" spans="1:9" ht="18" customHeight="1" x14ac:dyDescent="0.2">
      <c r="A17" s="234"/>
      <c r="B17" s="235"/>
      <c r="C17" s="235"/>
      <c r="D17" s="235"/>
      <c r="E17" s="235"/>
      <c r="I17" s="111"/>
    </row>
    <row r="18" spans="1:9" ht="18" customHeight="1" x14ac:dyDescent="0.2">
      <c r="A18" s="234" t="s">
        <v>96</v>
      </c>
      <c r="B18" s="235"/>
      <c r="C18" s="235" t="s">
        <v>97</v>
      </c>
      <c r="D18" s="235"/>
      <c r="E18" s="235"/>
      <c r="I18" s="111"/>
    </row>
    <row r="19" spans="1:9" ht="18" customHeight="1" x14ac:dyDescent="0.2">
      <c r="A19" s="234"/>
      <c r="B19" s="235"/>
      <c r="C19" s="235"/>
      <c r="D19" s="235"/>
      <c r="E19" s="235"/>
      <c r="I19" s="111"/>
    </row>
    <row r="20" spans="1:9" ht="18" customHeight="1" x14ac:dyDescent="0.2">
      <c r="A20" s="234" t="s">
        <v>98</v>
      </c>
      <c r="B20" s="235"/>
      <c r="C20" s="235" t="s">
        <v>99</v>
      </c>
      <c r="D20" s="235"/>
      <c r="E20" s="235"/>
      <c r="I20" s="111"/>
    </row>
    <row r="21" spans="1:9" ht="18" customHeight="1" x14ac:dyDescent="0.2">
      <c r="A21" s="234"/>
      <c r="B21" s="235"/>
      <c r="C21" s="235"/>
      <c r="D21" s="235"/>
      <c r="E21" s="235"/>
      <c r="I21" s="111"/>
    </row>
    <row r="22" spans="1:9" ht="18" customHeight="1" x14ac:dyDescent="0.2">
      <c r="A22" s="234" t="s">
        <v>100</v>
      </c>
      <c r="B22" s="235"/>
      <c r="C22" s="235" t="s">
        <v>101</v>
      </c>
      <c r="D22" s="235"/>
      <c r="E22" s="235"/>
      <c r="I22" s="111"/>
    </row>
    <row r="23" spans="1:9" ht="18" customHeight="1" x14ac:dyDescent="0.2">
      <c r="A23" s="234" t="s">
        <v>102</v>
      </c>
      <c r="B23" s="235"/>
      <c r="C23" s="235" t="s">
        <v>103</v>
      </c>
      <c r="D23" s="235"/>
      <c r="E23" s="235"/>
      <c r="I23" s="111"/>
    </row>
    <row r="24" spans="1:9" ht="18" customHeight="1" x14ac:dyDescent="0.2">
      <c r="A24" s="234" t="s">
        <v>106</v>
      </c>
      <c r="B24" s="235"/>
      <c r="C24" s="235" t="s">
        <v>107</v>
      </c>
      <c r="D24" s="235"/>
      <c r="E24" s="235"/>
      <c r="I24" s="111"/>
    </row>
    <row r="25" spans="1:9" ht="18" customHeight="1" x14ac:dyDescent="0.2">
      <c r="A25" s="234"/>
      <c r="B25" s="235"/>
      <c r="C25" s="235"/>
      <c r="D25" s="235"/>
      <c r="E25" s="235"/>
      <c r="I25" s="111"/>
    </row>
    <row r="26" spans="1:9" ht="18" customHeight="1" x14ac:dyDescent="0.2">
      <c r="A26" s="234" t="s">
        <v>104</v>
      </c>
      <c r="B26" s="235"/>
      <c r="C26" s="235" t="s">
        <v>105</v>
      </c>
      <c r="D26" s="235"/>
      <c r="E26" s="235"/>
      <c r="I26" s="111"/>
    </row>
    <row r="27" spans="1:9" ht="18" customHeight="1" x14ac:dyDescent="0.2">
      <c r="A27" s="234" t="s">
        <v>114</v>
      </c>
      <c r="B27" s="235"/>
      <c r="C27" s="235" t="s">
        <v>115</v>
      </c>
      <c r="D27" s="235"/>
      <c r="E27" s="235"/>
      <c r="I27" s="111"/>
    </row>
    <row r="28" spans="1:9" ht="18" customHeight="1" x14ac:dyDescent="0.2">
      <c r="A28" s="234"/>
      <c r="B28" s="235"/>
      <c r="C28" s="235"/>
      <c r="D28" s="235"/>
      <c r="E28" s="235"/>
      <c r="I28" s="111"/>
    </row>
    <row r="29" spans="1:9" ht="18" customHeight="1" x14ac:dyDescent="0.2">
      <c r="A29" s="234" t="s">
        <v>108</v>
      </c>
      <c r="B29" s="235"/>
      <c r="C29" s="235" t="s">
        <v>109</v>
      </c>
      <c r="D29" s="235"/>
      <c r="E29" s="235"/>
      <c r="I29" s="111"/>
    </row>
    <row r="30" spans="1:9" ht="18" customHeight="1" x14ac:dyDescent="0.2">
      <c r="A30" s="234"/>
      <c r="B30" s="235"/>
      <c r="C30" s="235"/>
      <c r="D30" s="235"/>
      <c r="E30" s="235"/>
      <c r="I30" s="111"/>
    </row>
    <row r="31" spans="1:9" ht="18" customHeight="1" x14ac:dyDescent="0.2">
      <c r="A31" s="234" t="s">
        <v>110</v>
      </c>
      <c r="B31" s="235"/>
      <c r="C31" s="235" t="s">
        <v>111</v>
      </c>
      <c r="D31" s="235"/>
      <c r="E31" s="235"/>
      <c r="I31" s="111"/>
    </row>
    <row r="32" spans="1:9" ht="18" customHeight="1" x14ac:dyDescent="0.2">
      <c r="A32" s="234"/>
      <c r="B32" s="235"/>
      <c r="C32" s="235"/>
      <c r="D32" s="235"/>
      <c r="E32" s="235"/>
      <c r="I32" s="111"/>
    </row>
    <row r="33" spans="1:9" ht="18" customHeight="1" x14ac:dyDescent="0.2">
      <c r="A33" s="234" t="s">
        <v>112</v>
      </c>
      <c r="B33" s="235"/>
      <c r="C33" s="235" t="s">
        <v>113</v>
      </c>
      <c r="D33" s="235"/>
      <c r="E33" s="235"/>
      <c r="I33" s="111"/>
    </row>
    <row r="34" spans="1:9" ht="18" customHeight="1" x14ac:dyDescent="0.2">
      <c r="A34" s="234"/>
      <c r="B34" s="235"/>
      <c r="C34" s="235"/>
      <c r="D34" s="235"/>
      <c r="E34" s="235"/>
      <c r="I34" s="111"/>
    </row>
    <row r="35" spans="1:9" ht="18" customHeight="1" x14ac:dyDescent="0.2">
      <c r="A35" s="234" t="s">
        <v>116</v>
      </c>
      <c r="B35" s="235"/>
      <c r="C35" s="235" t="s">
        <v>117</v>
      </c>
      <c r="D35" s="235"/>
      <c r="E35" s="235"/>
      <c r="I35" s="111"/>
    </row>
    <row r="36" spans="1:9" ht="18" customHeight="1" x14ac:dyDescent="0.2">
      <c r="A36" s="234"/>
      <c r="B36" s="235"/>
      <c r="C36" s="235"/>
      <c r="D36" s="235"/>
      <c r="E36" s="235"/>
      <c r="I36" s="111"/>
    </row>
    <row r="37" spans="1:9" ht="18" customHeight="1" x14ac:dyDescent="0.2">
      <c r="A37" s="234" t="s">
        <v>118</v>
      </c>
      <c r="B37" s="235"/>
      <c r="C37" s="235" t="s">
        <v>119</v>
      </c>
      <c r="D37" s="235"/>
      <c r="E37" s="235"/>
      <c r="I37" s="111"/>
    </row>
    <row r="38" spans="1:9" ht="18" customHeight="1" x14ac:dyDescent="0.2">
      <c r="A38" s="110"/>
      <c r="I38" s="111"/>
    </row>
    <row r="39" spans="1:9" ht="18" customHeight="1" x14ac:dyDescent="0.2">
      <c r="A39" s="110"/>
      <c r="I39" s="111"/>
    </row>
    <row r="40" spans="1:9" ht="18" customHeight="1" x14ac:dyDescent="0.2">
      <c r="A40" s="110"/>
      <c r="I40" s="111"/>
    </row>
    <row r="41" spans="1:9" ht="13.5" thickBot="1" x14ac:dyDescent="0.25">
      <c r="A41" s="237"/>
      <c r="B41" s="112"/>
      <c r="C41" s="112"/>
      <c r="D41" s="112"/>
      <c r="E41" s="112"/>
      <c r="F41" s="112"/>
      <c r="G41" s="112"/>
      <c r="H41" s="112"/>
      <c r="I41" s="238"/>
    </row>
  </sheetData>
  <sheetProtection password="C75E" sheet="1"/>
  <phoneticPr fontId="0" type="noConversion"/>
  <pageMargins left="0.75" right="0.75" top="0.72" bottom="0.73" header="0.4921259845" footer="0.492125984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749"/>
  <sheetViews>
    <sheetView zoomScale="130" zoomScaleNormal="130" workbookViewId="0"/>
  </sheetViews>
  <sheetFormatPr defaultRowHeight="12.75" x14ac:dyDescent="0.2"/>
  <cols>
    <col min="1" max="1" width="20.28515625" customWidth="1"/>
    <col min="2" max="7" width="11.42578125" customWidth="1"/>
    <col min="8" max="8" width="9.7109375" customWidth="1"/>
    <col min="9" max="9" width="11.42578125" customWidth="1"/>
  </cols>
  <sheetData>
    <row r="1" spans="1:55" s="490" customFormat="1" ht="11.25" customHeight="1" x14ac:dyDescent="0.2">
      <c r="A1" s="326"/>
      <c r="B1" s="147"/>
      <c r="C1" s="147"/>
      <c r="D1" s="161" t="s">
        <v>292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</row>
    <row r="2" spans="1:55" s="490" customFormat="1" ht="11.25" customHeight="1" x14ac:dyDescent="0.2">
      <c r="A2" s="326" t="s">
        <v>221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</row>
    <row r="3" spans="1:55" s="490" customFormat="1" ht="11.25" customHeight="1" x14ac:dyDescent="0.2">
      <c r="A3" s="147"/>
      <c r="B3" s="147"/>
      <c r="C3" s="147"/>
      <c r="D3" s="147" t="s">
        <v>459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</row>
    <row r="4" spans="1:55" s="490" customFormat="1" x14ac:dyDescent="0.2">
      <c r="A4" s="147"/>
      <c r="B4" s="147"/>
      <c r="C4" s="147" t="s">
        <v>293</v>
      </c>
      <c r="D4" s="53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</row>
    <row r="5" spans="1:55" s="490" customFormat="1" x14ac:dyDescent="0.2">
      <c r="A5" s="147"/>
      <c r="B5" s="147"/>
      <c r="C5" s="147" t="s">
        <v>294</v>
      </c>
      <c r="D5" s="538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</row>
    <row r="6" spans="1:55" s="490" customFormat="1" x14ac:dyDescent="0.2">
      <c r="A6" s="147"/>
      <c r="B6" s="147"/>
      <c r="C6" s="147" t="s">
        <v>295</v>
      </c>
      <c r="D6" s="539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</row>
    <row r="7" spans="1:55" s="490" customFormat="1" ht="14.25" customHeight="1" thickBot="1" x14ac:dyDescent="0.25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</row>
    <row r="8" spans="1:55" s="550" customFormat="1" ht="12" customHeight="1" thickBot="1" x14ac:dyDescent="0.25">
      <c r="A8" s="549"/>
      <c r="B8" s="760" t="s">
        <v>296</v>
      </c>
      <c r="C8" s="761"/>
      <c r="D8" s="762" t="s">
        <v>297</v>
      </c>
      <c r="E8" s="763"/>
      <c r="F8" s="764" t="s">
        <v>298</v>
      </c>
      <c r="G8" s="765"/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  <c r="Y8" s="549"/>
      <c r="Z8" s="549"/>
      <c r="AA8" s="549"/>
      <c r="AB8" s="549"/>
      <c r="AC8" s="549"/>
      <c r="AD8" s="549"/>
      <c r="AE8" s="549"/>
      <c r="AF8" s="549"/>
      <c r="AG8" s="549"/>
      <c r="AH8" s="549"/>
      <c r="AI8" s="549"/>
      <c r="AJ8" s="549"/>
      <c r="AK8" s="549"/>
      <c r="AL8" s="549"/>
      <c r="AM8" s="549"/>
      <c r="AN8" s="549"/>
      <c r="AO8" s="549"/>
      <c r="AP8" s="549"/>
      <c r="AQ8" s="549"/>
      <c r="AR8" s="549"/>
      <c r="AS8" s="549"/>
      <c r="AT8" s="549"/>
      <c r="AU8" s="549"/>
      <c r="AV8" s="549"/>
      <c r="AW8" s="549"/>
      <c r="AX8" s="549"/>
      <c r="AY8" s="549"/>
      <c r="AZ8" s="549"/>
      <c r="BA8" s="549"/>
      <c r="BB8" s="549"/>
      <c r="BC8" s="549"/>
    </row>
    <row r="9" spans="1:55" s="545" customFormat="1" ht="25.5" customHeight="1" thickBot="1" x14ac:dyDescent="0.25">
      <c r="A9" s="156" t="s">
        <v>299</v>
      </c>
      <c r="B9" s="543" t="s">
        <v>460</v>
      </c>
      <c r="C9" s="544" t="s">
        <v>300</v>
      </c>
      <c r="D9" s="543" t="s">
        <v>461</v>
      </c>
      <c r="E9" s="544" t="s">
        <v>300</v>
      </c>
      <c r="F9" s="543" t="s">
        <v>461</v>
      </c>
      <c r="G9" s="542" t="s">
        <v>300</v>
      </c>
      <c r="H9" s="540" t="s">
        <v>301</v>
      </c>
      <c r="I9" s="541" t="s">
        <v>302</v>
      </c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</row>
    <row r="10" spans="1:55" s="490" customFormat="1" x14ac:dyDescent="0.2">
      <c r="A10" s="483"/>
      <c r="B10" s="484"/>
      <c r="C10" s="485"/>
      <c r="D10" s="486"/>
      <c r="E10" s="487"/>
      <c r="F10" s="484"/>
      <c r="G10" s="485"/>
      <c r="H10" s="488">
        <f>B10+D10+F10</f>
        <v>0</v>
      </c>
      <c r="I10" s="489">
        <f>B10*C10+D10*E10+F10*G10</f>
        <v>0</v>
      </c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</row>
    <row r="11" spans="1:55" s="490" customFormat="1" x14ac:dyDescent="0.2">
      <c r="A11" s="491"/>
      <c r="B11" s="492"/>
      <c r="C11" s="493"/>
      <c r="D11" s="494"/>
      <c r="E11" s="495"/>
      <c r="F11" s="492"/>
      <c r="G11" s="493"/>
      <c r="H11" s="496">
        <f t="shared" ref="H11:H29" si="0">B11+D11+F11</f>
        <v>0</v>
      </c>
      <c r="I11" s="497">
        <f t="shared" ref="I11:I28" si="1">B11*C11+D11*E11+F11*G11</f>
        <v>0</v>
      </c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</row>
    <row r="12" spans="1:55" s="490" customFormat="1" x14ac:dyDescent="0.2">
      <c r="A12" s="491"/>
      <c r="B12" s="492"/>
      <c r="C12" s="493"/>
      <c r="D12" s="494"/>
      <c r="E12" s="495"/>
      <c r="F12" s="492"/>
      <c r="G12" s="493"/>
      <c r="H12" s="496">
        <f t="shared" si="0"/>
        <v>0</v>
      </c>
      <c r="I12" s="497">
        <f t="shared" si="1"/>
        <v>0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</row>
    <row r="13" spans="1:55" s="490" customFormat="1" x14ac:dyDescent="0.2">
      <c r="A13" s="491"/>
      <c r="B13" s="492"/>
      <c r="C13" s="493"/>
      <c r="D13" s="494"/>
      <c r="E13" s="495"/>
      <c r="F13" s="492"/>
      <c r="G13" s="493"/>
      <c r="H13" s="496">
        <f t="shared" si="0"/>
        <v>0</v>
      </c>
      <c r="I13" s="497">
        <f t="shared" si="1"/>
        <v>0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</row>
    <row r="14" spans="1:55" s="490" customFormat="1" x14ac:dyDescent="0.2">
      <c r="A14" s="491"/>
      <c r="B14" s="492"/>
      <c r="C14" s="493"/>
      <c r="D14" s="494"/>
      <c r="E14" s="495"/>
      <c r="F14" s="492"/>
      <c r="G14" s="493"/>
      <c r="H14" s="496">
        <f t="shared" si="0"/>
        <v>0</v>
      </c>
      <c r="I14" s="497">
        <f t="shared" si="1"/>
        <v>0</v>
      </c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</row>
    <row r="15" spans="1:55" s="490" customFormat="1" x14ac:dyDescent="0.2">
      <c r="A15" s="491"/>
      <c r="B15" s="492"/>
      <c r="C15" s="493"/>
      <c r="D15" s="494"/>
      <c r="E15" s="495"/>
      <c r="F15" s="492"/>
      <c r="G15" s="493"/>
      <c r="H15" s="496">
        <f t="shared" si="0"/>
        <v>0</v>
      </c>
      <c r="I15" s="497">
        <f t="shared" si="1"/>
        <v>0</v>
      </c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</row>
    <row r="16" spans="1:55" s="490" customFormat="1" x14ac:dyDescent="0.2">
      <c r="A16" s="491"/>
      <c r="B16" s="492"/>
      <c r="C16" s="493"/>
      <c r="D16" s="494"/>
      <c r="E16" s="495"/>
      <c r="F16" s="492"/>
      <c r="G16" s="493"/>
      <c r="H16" s="496">
        <f t="shared" si="0"/>
        <v>0</v>
      </c>
      <c r="I16" s="497">
        <f t="shared" si="1"/>
        <v>0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</row>
    <row r="17" spans="1:55" s="490" customFormat="1" x14ac:dyDescent="0.2">
      <c r="A17" s="491"/>
      <c r="B17" s="492"/>
      <c r="C17" s="493"/>
      <c r="D17" s="494"/>
      <c r="E17" s="495"/>
      <c r="F17" s="492"/>
      <c r="G17" s="493"/>
      <c r="H17" s="496">
        <f t="shared" si="0"/>
        <v>0</v>
      </c>
      <c r="I17" s="497">
        <f t="shared" si="1"/>
        <v>0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</row>
    <row r="18" spans="1:55" s="490" customFormat="1" x14ac:dyDescent="0.2">
      <c r="A18" s="491"/>
      <c r="B18" s="492"/>
      <c r="C18" s="493"/>
      <c r="D18" s="494"/>
      <c r="E18" s="495"/>
      <c r="F18" s="492"/>
      <c r="G18" s="493"/>
      <c r="H18" s="496">
        <f t="shared" si="0"/>
        <v>0</v>
      </c>
      <c r="I18" s="497">
        <f t="shared" si="1"/>
        <v>0</v>
      </c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</row>
    <row r="19" spans="1:55" s="490" customFormat="1" x14ac:dyDescent="0.2">
      <c r="A19" s="491"/>
      <c r="B19" s="492"/>
      <c r="C19" s="493"/>
      <c r="D19" s="494"/>
      <c r="E19" s="495"/>
      <c r="F19" s="492"/>
      <c r="G19" s="493"/>
      <c r="H19" s="496">
        <f t="shared" si="0"/>
        <v>0</v>
      </c>
      <c r="I19" s="497">
        <f t="shared" si="1"/>
        <v>0</v>
      </c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</row>
    <row r="20" spans="1:55" s="490" customFormat="1" x14ac:dyDescent="0.2">
      <c r="A20" s="491"/>
      <c r="B20" s="492"/>
      <c r="C20" s="493"/>
      <c r="D20" s="494"/>
      <c r="E20" s="495"/>
      <c r="F20" s="492"/>
      <c r="G20" s="493"/>
      <c r="H20" s="496">
        <f t="shared" si="0"/>
        <v>0</v>
      </c>
      <c r="I20" s="497">
        <f t="shared" si="1"/>
        <v>0</v>
      </c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</row>
    <row r="21" spans="1:55" s="490" customFormat="1" x14ac:dyDescent="0.2">
      <c r="A21" s="491"/>
      <c r="B21" s="492"/>
      <c r="C21" s="493"/>
      <c r="D21" s="494"/>
      <c r="E21" s="495"/>
      <c r="F21" s="492"/>
      <c r="G21" s="493"/>
      <c r="H21" s="496">
        <f t="shared" si="0"/>
        <v>0</v>
      </c>
      <c r="I21" s="497">
        <f t="shared" si="1"/>
        <v>0</v>
      </c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</row>
    <row r="22" spans="1:55" s="490" customFormat="1" x14ac:dyDescent="0.2">
      <c r="A22" s="491"/>
      <c r="B22" s="492"/>
      <c r="C22" s="493"/>
      <c r="D22" s="494"/>
      <c r="E22" s="495"/>
      <c r="F22" s="492"/>
      <c r="G22" s="493"/>
      <c r="H22" s="496">
        <f t="shared" si="0"/>
        <v>0</v>
      </c>
      <c r="I22" s="497">
        <f t="shared" si="1"/>
        <v>0</v>
      </c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</row>
    <row r="23" spans="1:55" s="490" customFormat="1" x14ac:dyDescent="0.2">
      <c r="A23" s="491"/>
      <c r="B23" s="492"/>
      <c r="C23" s="493"/>
      <c r="D23" s="494"/>
      <c r="E23" s="495"/>
      <c r="F23" s="492"/>
      <c r="G23" s="493"/>
      <c r="H23" s="496">
        <f t="shared" si="0"/>
        <v>0</v>
      </c>
      <c r="I23" s="497">
        <f t="shared" si="1"/>
        <v>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</row>
    <row r="24" spans="1:55" s="490" customFormat="1" ht="13.5" thickBot="1" x14ac:dyDescent="0.25">
      <c r="A24" s="498"/>
      <c r="B24" s="499"/>
      <c r="C24" s="500"/>
      <c r="D24" s="501"/>
      <c r="E24" s="502"/>
      <c r="F24" s="499"/>
      <c r="G24" s="500"/>
      <c r="H24" s="503">
        <f t="shared" si="0"/>
        <v>0</v>
      </c>
      <c r="I24" s="504">
        <f t="shared" si="1"/>
        <v>0</v>
      </c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</row>
    <row r="25" spans="1:55" s="548" customFormat="1" ht="12" customHeight="1" thickBot="1" x14ac:dyDescent="0.25">
      <c r="A25" s="769" t="s">
        <v>451</v>
      </c>
      <c r="B25" s="770"/>
      <c r="C25" s="770"/>
      <c r="D25" s="770"/>
      <c r="E25" s="770"/>
      <c r="F25" s="770"/>
      <c r="G25" s="771"/>
      <c r="H25" s="546"/>
      <c r="I25" s="547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</row>
    <row r="26" spans="1:55" s="490" customFormat="1" x14ac:dyDescent="0.2">
      <c r="A26" s="505"/>
      <c r="B26" s="506"/>
      <c r="C26" s="507"/>
      <c r="D26" s="506"/>
      <c r="E26" s="507"/>
      <c r="F26" s="506"/>
      <c r="G26" s="508"/>
      <c r="H26" s="509">
        <f t="shared" si="0"/>
        <v>0</v>
      </c>
      <c r="I26" s="510">
        <f t="shared" si="1"/>
        <v>0</v>
      </c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</row>
    <row r="27" spans="1:55" s="490" customFormat="1" x14ac:dyDescent="0.2">
      <c r="A27" s="511"/>
      <c r="B27" s="512"/>
      <c r="C27" s="513"/>
      <c r="D27" s="512"/>
      <c r="E27" s="513"/>
      <c r="F27" s="512"/>
      <c r="G27" s="514"/>
      <c r="H27" s="515">
        <f t="shared" si="0"/>
        <v>0</v>
      </c>
      <c r="I27" s="516">
        <f t="shared" si="1"/>
        <v>0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</row>
    <row r="28" spans="1:55" s="490" customFormat="1" x14ac:dyDescent="0.2">
      <c r="A28" s="511"/>
      <c r="B28" s="512"/>
      <c r="C28" s="513"/>
      <c r="D28" s="512"/>
      <c r="E28" s="513"/>
      <c r="F28" s="512"/>
      <c r="G28" s="514"/>
      <c r="H28" s="515">
        <f t="shared" si="0"/>
        <v>0</v>
      </c>
      <c r="I28" s="516">
        <f t="shared" si="1"/>
        <v>0</v>
      </c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</row>
    <row r="29" spans="1:55" s="490" customFormat="1" ht="13.5" thickBot="1" x14ac:dyDescent="0.25">
      <c r="A29" s="517"/>
      <c r="B29" s="518"/>
      <c r="C29" s="519"/>
      <c r="D29" s="518"/>
      <c r="E29" s="519"/>
      <c r="F29" s="518"/>
      <c r="G29" s="520"/>
      <c r="H29" s="521">
        <f t="shared" si="0"/>
        <v>0</v>
      </c>
      <c r="I29" s="522">
        <f>B29*C29+D29*E29+F29*G29</f>
        <v>0</v>
      </c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</row>
    <row r="30" spans="1:55" s="548" customFormat="1" ht="12" customHeight="1" thickBot="1" x14ac:dyDescent="0.25">
      <c r="A30" s="766" t="s">
        <v>452</v>
      </c>
      <c r="B30" s="767"/>
      <c r="C30" s="767"/>
      <c r="D30" s="767"/>
      <c r="E30" s="767"/>
      <c r="F30" s="767"/>
      <c r="G30" s="768"/>
      <c r="H30" s="546"/>
      <c r="I30" s="547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</row>
    <row r="31" spans="1:55" s="490" customFormat="1" x14ac:dyDescent="0.2">
      <c r="A31" s="562"/>
      <c r="B31" s="563"/>
      <c r="C31" s="564"/>
      <c r="D31" s="563"/>
      <c r="E31" s="564"/>
      <c r="F31" s="563"/>
      <c r="G31" s="565"/>
      <c r="H31" s="509">
        <f>B31+D31+F31</f>
        <v>0</v>
      </c>
      <c r="I31" s="510">
        <f>B31*C31+D31*E31+F31*G31</f>
        <v>0</v>
      </c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</row>
    <row r="32" spans="1:55" s="490" customFormat="1" x14ac:dyDescent="0.2">
      <c r="A32" s="566"/>
      <c r="B32" s="567"/>
      <c r="C32" s="568"/>
      <c r="D32" s="567"/>
      <c r="E32" s="568"/>
      <c r="F32" s="567"/>
      <c r="G32" s="569"/>
      <c r="H32" s="515">
        <f>B32+D32+F32</f>
        <v>0</v>
      </c>
      <c r="I32" s="516">
        <f>B32*C32+D32*E32+F32*G32</f>
        <v>0</v>
      </c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</row>
    <row r="33" spans="1:55" s="490" customFormat="1" x14ac:dyDescent="0.2">
      <c r="A33" s="566"/>
      <c r="B33" s="567"/>
      <c r="C33" s="568"/>
      <c r="D33" s="567"/>
      <c r="E33" s="568"/>
      <c r="F33" s="567"/>
      <c r="G33" s="569"/>
      <c r="H33" s="515">
        <f>B33+D33+F33</f>
        <v>0</v>
      </c>
      <c r="I33" s="516">
        <f>B33*C33+D33*E33+F33*G33</f>
        <v>0</v>
      </c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</row>
    <row r="34" spans="1:55" s="490" customFormat="1" ht="13.5" thickBot="1" x14ac:dyDescent="0.25">
      <c r="A34" s="570"/>
      <c r="B34" s="571"/>
      <c r="C34" s="572"/>
      <c r="D34" s="571"/>
      <c r="E34" s="572"/>
      <c r="F34" s="571"/>
      <c r="G34" s="573"/>
      <c r="H34" s="523">
        <f>B34+D34+F34</f>
        <v>0</v>
      </c>
      <c r="I34" s="524">
        <f>B34*C34+D34*E34+F34*G34</f>
        <v>0</v>
      </c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</row>
    <row r="35" spans="1:55" s="490" customFormat="1" x14ac:dyDescent="0.2">
      <c r="A35" s="525" t="s">
        <v>303</v>
      </c>
      <c r="B35" s="242">
        <f>SUM(B10:B34)</f>
        <v>0</v>
      </c>
      <c r="C35" s="147"/>
      <c r="D35" s="242">
        <f>SUM(D10:D34)</f>
        <v>0</v>
      </c>
      <c r="E35" s="147"/>
      <c r="F35" s="526">
        <f>SUM(F10:F34)</f>
        <v>0</v>
      </c>
      <c r="G35" s="147"/>
      <c r="H35" s="242">
        <f>SUM(H10:H34)</f>
        <v>0</v>
      </c>
      <c r="I35" s="527">
        <f>SUM(I10:I34)</f>
        <v>0</v>
      </c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</row>
    <row r="36" spans="1:55" s="490" customFormat="1" ht="9.75" customHeight="1" x14ac:dyDescent="0.2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</row>
    <row r="37" spans="1:55" s="490" customFormat="1" ht="12" customHeight="1" x14ac:dyDescent="0.2">
      <c r="A37" s="528" t="s">
        <v>304</v>
      </c>
      <c r="B37" s="529"/>
      <c r="C37" s="530" t="e">
        <f>SUM('NHK muuttuu kesken urakan'!J29)</f>
        <v>#DIV/0!</v>
      </c>
      <c r="D37" s="531" t="s">
        <v>305</v>
      </c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</row>
    <row r="38" spans="1:55" s="490" customFormat="1" ht="12" customHeight="1" thickBot="1" x14ac:dyDescent="0.25">
      <c r="A38" s="532" t="s">
        <v>292</v>
      </c>
      <c r="B38" s="533"/>
      <c r="C38" s="534">
        <f>H35</f>
        <v>0</v>
      </c>
      <c r="D38" s="535" t="s">
        <v>306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</row>
    <row r="39" spans="1:55" s="490" customFormat="1" ht="12" customHeight="1" thickBot="1" x14ac:dyDescent="0.25">
      <c r="A39" s="147" t="s">
        <v>307</v>
      </c>
      <c r="B39" s="147"/>
      <c r="C39" s="536" t="e">
        <f>SUM(C37/C38)</f>
        <v>#DIV/0!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</row>
    <row r="40" spans="1:55" s="490" customFormat="1" x14ac:dyDescent="0.2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</row>
    <row r="41" spans="1:55" x14ac:dyDescent="0.2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</row>
    <row r="42" spans="1:55" ht="14.25" x14ac:dyDescent="0.2">
      <c r="A42" s="23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</row>
    <row r="43" spans="1:55" x14ac:dyDescent="0.2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</row>
    <row r="44" spans="1:55" x14ac:dyDescent="0.2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</row>
    <row r="45" spans="1:55" x14ac:dyDescent="0.2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</row>
    <row r="46" spans="1:55" x14ac:dyDescent="0.2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</row>
    <row r="47" spans="1:55" x14ac:dyDescent="0.2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</row>
    <row r="48" spans="1:55" x14ac:dyDescent="0.2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</row>
    <row r="49" spans="1:55" x14ac:dyDescent="0.2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</row>
    <row r="50" spans="1:55" x14ac:dyDescent="0.2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</row>
    <row r="51" spans="1:55" x14ac:dyDescent="0.2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</row>
    <row r="52" spans="1:55" x14ac:dyDescent="0.2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</row>
    <row r="53" spans="1:55" x14ac:dyDescent="0.2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</row>
    <row r="54" spans="1:55" x14ac:dyDescent="0.2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</row>
    <row r="55" spans="1:55" x14ac:dyDescent="0.2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</row>
    <row r="56" spans="1:55" x14ac:dyDescent="0.2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</row>
    <row r="57" spans="1:55" x14ac:dyDescent="0.2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</row>
    <row r="58" spans="1:55" x14ac:dyDescent="0.2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</row>
    <row r="59" spans="1:55" x14ac:dyDescent="0.2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</row>
    <row r="60" spans="1:55" x14ac:dyDescent="0.2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</row>
    <row r="61" spans="1:55" x14ac:dyDescent="0.2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</row>
    <row r="62" spans="1:55" x14ac:dyDescent="0.2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</row>
    <row r="63" spans="1:55" x14ac:dyDescent="0.2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</row>
    <row r="64" spans="1:55" x14ac:dyDescent="0.2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</row>
    <row r="65" spans="1:55" x14ac:dyDescent="0.2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</row>
    <row r="66" spans="1:55" x14ac:dyDescent="0.2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</row>
    <row r="67" spans="1:55" x14ac:dyDescent="0.2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</row>
    <row r="68" spans="1:55" x14ac:dyDescent="0.2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</row>
    <row r="69" spans="1:55" x14ac:dyDescent="0.2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</row>
    <row r="70" spans="1:55" x14ac:dyDescent="0.2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</row>
    <row r="71" spans="1:55" x14ac:dyDescent="0.2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</row>
    <row r="72" spans="1:55" x14ac:dyDescent="0.2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</row>
    <row r="73" spans="1:55" x14ac:dyDescent="0.2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</row>
    <row r="74" spans="1:55" x14ac:dyDescent="0.2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</row>
    <row r="75" spans="1:55" x14ac:dyDescent="0.2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</row>
    <row r="76" spans="1:55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</row>
    <row r="77" spans="1:55" x14ac:dyDescent="0.2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</row>
    <row r="78" spans="1:55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</row>
    <row r="79" spans="1:55" x14ac:dyDescent="0.2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</row>
    <row r="80" spans="1:55" x14ac:dyDescent="0.2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</row>
    <row r="81" spans="1:55" x14ac:dyDescent="0.2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</row>
    <row r="82" spans="1:55" x14ac:dyDescent="0.2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</row>
    <row r="83" spans="1:55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</row>
    <row r="84" spans="1:55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</row>
    <row r="85" spans="1:55" x14ac:dyDescent="0.2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</row>
    <row r="86" spans="1:55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</row>
    <row r="87" spans="1:55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</row>
    <row r="88" spans="1:55" x14ac:dyDescent="0.2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</row>
    <row r="89" spans="1:55" x14ac:dyDescent="0.2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</row>
    <row r="90" spans="1:55" x14ac:dyDescent="0.2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</row>
    <row r="91" spans="1:55" x14ac:dyDescent="0.2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</row>
    <row r="92" spans="1:55" x14ac:dyDescent="0.2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</row>
    <row r="93" spans="1:55" x14ac:dyDescent="0.2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</row>
    <row r="94" spans="1:55" x14ac:dyDescent="0.2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</row>
    <row r="95" spans="1:55" x14ac:dyDescent="0.2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</row>
    <row r="96" spans="1:55" x14ac:dyDescent="0.2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</row>
    <row r="97" spans="1:55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</row>
    <row r="98" spans="1:55" x14ac:dyDescent="0.2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</row>
    <row r="99" spans="1:55" x14ac:dyDescent="0.2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</row>
    <row r="100" spans="1:55" x14ac:dyDescent="0.2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</row>
    <row r="101" spans="1:55" x14ac:dyDescent="0.2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</row>
    <row r="102" spans="1:55" x14ac:dyDescent="0.2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</row>
    <row r="103" spans="1:55" x14ac:dyDescent="0.2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</row>
    <row r="104" spans="1:55" x14ac:dyDescent="0.2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</row>
    <row r="105" spans="1:55" x14ac:dyDescent="0.2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</row>
    <row r="106" spans="1:55" x14ac:dyDescent="0.2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</row>
    <row r="107" spans="1:55" x14ac:dyDescent="0.2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</row>
    <row r="108" spans="1:55" x14ac:dyDescent="0.2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</row>
    <row r="109" spans="1:55" x14ac:dyDescent="0.2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</row>
    <row r="110" spans="1:55" x14ac:dyDescent="0.2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</row>
    <row r="111" spans="1:55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</row>
    <row r="112" spans="1:55" x14ac:dyDescent="0.2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</row>
    <row r="113" spans="1:55" x14ac:dyDescent="0.2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</row>
    <row r="114" spans="1:55" x14ac:dyDescent="0.2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</row>
    <row r="115" spans="1:55" x14ac:dyDescent="0.2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</row>
    <row r="116" spans="1:55" x14ac:dyDescent="0.2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</row>
    <row r="117" spans="1:55" x14ac:dyDescent="0.2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</row>
    <row r="118" spans="1:55" x14ac:dyDescent="0.2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</row>
    <row r="119" spans="1:55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</row>
    <row r="120" spans="1:55" x14ac:dyDescent="0.2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</row>
    <row r="121" spans="1:55" x14ac:dyDescent="0.2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</row>
    <row r="122" spans="1:55" x14ac:dyDescent="0.2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</row>
    <row r="123" spans="1:55" x14ac:dyDescent="0.2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</row>
    <row r="124" spans="1:55" x14ac:dyDescent="0.2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</row>
    <row r="125" spans="1:55" x14ac:dyDescent="0.2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</row>
    <row r="126" spans="1:55" x14ac:dyDescent="0.2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</row>
    <row r="127" spans="1:55" x14ac:dyDescent="0.2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</row>
    <row r="128" spans="1:55" x14ac:dyDescent="0.2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</row>
    <row r="129" spans="1:55" x14ac:dyDescent="0.2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</row>
    <row r="130" spans="1:55" x14ac:dyDescent="0.2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</row>
    <row r="131" spans="1:55" x14ac:dyDescent="0.2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</row>
    <row r="132" spans="1:55" x14ac:dyDescent="0.2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</row>
    <row r="133" spans="1:55" x14ac:dyDescent="0.2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</row>
    <row r="134" spans="1:55" x14ac:dyDescent="0.2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</row>
    <row r="135" spans="1:55" x14ac:dyDescent="0.2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</row>
    <row r="136" spans="1:55" x14ac:dyDescent="0.2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</row>
    <row r="137" spans="1:55" x14ac:dyDescent="0.2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</row>
    <row r="138" spans="1:55" x14ac:dyDescent="0.2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</row>
    <row r="139" spans="1:55" x14ac:dyDescent="0.2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</row>
    <row r="140" spans="1:55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</row>
    <row r="141" spans="1:55" x14ac:dyDescent="0.2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</row>
    <row r="142" spans="1:55" x14ac:dyDescent="0.2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</row>
    <row r="143" spans="1:55" x14ac:dyDescent="0.2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</row>
    <row r="144" spans="1:55" x14ac:dyDescent="0.2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</row>
    <row r="145" spans="1:55" x14ac:dyDescent="0.2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</row>
    <row r="146" spans="1:55" x14ac:dyDescent="0.2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</row>
    <row r="147" spans="1:55" x14ac:dyDescent="0.2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</row>
    <row r="148" spans="1:55" x14ac:dyDescent="0.2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</row>
    <row r="149" spans="1:55" x14ac:dyDescent="0.2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</row>
    <row r="150" spans="1:55" x14ac:dyDescent="0.2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</row>
    <row r="151" spans="1:55" x14ac:dyDescent="0.2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</row>
    <row r="152" spans="1:55" x14ac:dyDescent="0.2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</row>
    <row r="153" spans="1:55" x14ac:dyDescent="0.2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  <c r="BA153" s="109"/>
      <c r="BB153" s="109"/>
      <c r="BC153" s="109"/>
    </row>
    <row r="154" spans="1:55" x14ac:dyDescent="0.2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  <c r="BA154" s="109"/>
      <c r="BB154" s="109"/>
      <c r="BC154" s="109"/>
    </row>
    <row r="155" spans="1:55" x14ac:dyDescent="0.2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</row>
    <row r="156" spans="1:55" x14ac:dyDescent="0.2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</row>
    <row r="157" spans="1:55" x14ac:dyDescent="0.2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  <c r="BA157" s="109"/>
      <c r="BB157" s="109"/>
      <c r="BC157" s="109"/>
    </row>
    <row r="158" spans="1:55" x14ac:dyDescent="0.2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</row>
    <row r="159" spans="1:55" x14ac:dyDescent="0.2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</row>
    <row r="160" spans="1:55" x14ac:dyDescent="0.2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</row>
    <row r="161" spans="1:55" x14ac:dyDescent="0.2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</row>
    <row r="162" spans="1:55" x14ac:dyDescent="0.2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</row>
    <row r="163" spans="1:55" x14ac:dyDescent="0.2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</row>
    <row r="164" spans="1:55" x14ac:dyDescent="0.2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</row>
    <row r="165" spans="1:55" x14ac:dyDescent="0.2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</row>
    <row r="166" spans="1:55" x14ac:dyDescent="0.2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</row>
    <row r="167" spans="1:55" x14ac:dyDescent="0.2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</row>
    <row r="168" spans="1:55" x14ac:dyDescent="0.2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</row>
    <row r="169" spans="1:55" x14ac:dyDescent="0.2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</row>
    <row r="170" spans="1:55" x14ac:dyDescent="0.2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</row>
    <row r="171" spans="1:55" x14ac:dyDescent="0.2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</row>
    <row r="172" spans="1:55" x14ac:dyDescent="0.2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</row>
    <row r="173" spans="1:55" x14ac:dyDescent="0.2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</row>
    <row r="174" spans="1:55" x14ac:dyDescent="0.2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</row>
    <row r="175" spans="1:55" x14ac:dyDescent="0.2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</row>
    <row r="176" spans="1:55" x14ac:dyDescent="0.2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</row>
    <row r="177" spans="1:55" x14ac:dyDescent="0.2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</row>
    <row r="178" spans="1:55" x14ac:dyDescent="0.2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</row>
    <row r="179" spans="1:55" x14ac:dyDescent="0.2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</row>
    <row r="180" spans="1:55" x14ac:dyDescent="0.2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</row>
    <row r="181" spans="1:55" x14ac:dyDescent="0.2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</row>
    <row r="182" spans="1:55" x14ac:dyDescent="0.2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</row>
    <row r="183" spans="1:55" x14ac:dyDescent="0.2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</row>
    <row r="184" spans="1:55" x14ac:dyDescent="0.2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</row>
    <row r="185" spans="1:55" x14ac:dyDescent="0.2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</row>
    <row r="186" spans="1:55" x14ac:dyDescent="0.2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</row>
    <row r="187" spans="1:55" x14ac:dyDescent="0.2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</row>
    <row r="188" spans="1:55" x14ac:dyDescent="0.2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</row>
    <row r="189" spans="1:55" x14ac:dyDescent="0.2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</row>
    <row r="190" spans="1:55" x14ac:dyDescent="0.2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</row>
    <row r="191" spans="1:55" x14ac:dyDescent="0.2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</row>
    <row r="192" spans="1:55" x14ac:dyDescent="0.2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</row>
    <row r="193" spans="1:55" x14ac:dyDescent="0.2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</row>
    <row r="194" spans="1:55" x14ac:dyDescent="0.2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</row>
    <row r="195" spans="1:55" x14ac:dyDescent="0.2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</row>
    <row r="196" spans="1:55" x14ac:dyDescent="0.2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</row>
    <row r="197" spans="1:55" x14ac:dyDescent="0.2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</row>
    <row r="198" spans="1:55" x14ac:dyDescent="0.2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</row>
    <row r="199" spans="1:55" x14ac:dyDescent="0.2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</row>
    <row r="200" spans="1:55" x14ac:dyDescent="0.2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</row>
    <row r="201" spans="1:55" x14ac:dyDescent="0.2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</row>
    <row r="202" spans="1:55" x14ac:dyDescent="0.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</row>
    <row r="203" spans="1:55" x14ac:dyDescent="0.2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</row>
    <row r="204" spans="1:55" x14ac:dyDescent="0.2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</row>
    <row r="205" spans="1:55" x14ac:dyDescent="0.2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  <c r="BA205" s="109"/>
      <c r="BB205" s="109"/>
      <c r="BC205" s="109"/>
    </row>
    <row r="206" spans="1:55" x14ac:dyDescent="0.2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09"/>
    </row>
    <row r="207" spans="1:55" x14ac:dyDescent="0.2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09"/>
    </row>
    <row r="208" spans="1:55" x14ac:dyDescent="0.2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09"/>
    </row>
    <row r="209" spans="1:55" x14ac:dyDescent="0.2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</row>
    <row r="210" spans="1:55" x14ac:dyDescent="0.2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</row>
    <row r="211" spans="1:55" x14ac:dyDescent="0.2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</row>
    <row r="212" spans="1:55" x14ac:dyDescent="0.2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</row>
    <row r="213" spans="1:55" x14ac:dyDescent="0.2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</row>
    <row r="214" spans="1:55" x14ac:dyDescent="0.2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09"/>
      <c r="BB214" s="109"/>
      <c r="BC214" s="109"/>
    </row>
    <row r="215" spans="1:55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</row>
    <row r="216" spans="1:55" x14ac:dyDescent="0.2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</row>
    <row r="217" spans="1:55" x14ac:dyDescent="0.2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</row>
    <row r="218" spans="1:55" x14ac:dyDescent="0.2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  <c r="BA218" s="109"/>
      <c r="BB218" s="109"/>
      <c r="BC218" s="109"/>
    </row>
    <row r="219" spans="1:55" x14ac:dyDescent="0.2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</row>
    <row r="220" spans="1:55" x14ac:dyDescent="0.2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  <c r="BA220" s="109"/>
      <c r="BB220" s="109"/>
      <c r="BC220" s="109"/>
    </row>
    <row r="221" spans="1:55" x14ac:dyDescent="0.2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</row>
    <row r="222" spans="1:55" x14ac:dyDescent="0.2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  <c r="BA222" s="109"/>
      <c r="BB222" s="109"/>
      <c r="BC222" s="109"/>
    </row>
    <row r="223" spans="1:55" x14ac:dyDescent="0.2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</row>
    <row r="224" spans="1:55" x14ac:dyDescent="0.2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</row>
    <row r="225" spans="1:55" x14ac:dyDescent="0.2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</row>
    <row r="226" spans="1:55" x14ac:dyDescent="0.2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  <c r="BA226" s="109"/>
      <c r="BB226" s="109"/>
      <c r="BC226" s="109"/>
    </row>
    <row r="227" spans="1:55" x14ac:dyDescent="0.2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  <c r="BA227" s="109"/>
      <c r="BB227" s="109"/>
      <c r="BC227" s="109"/>
    </row>
    <row r="228" spans="1:55" x14ac:dyDescent="0.2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  <c r="BA228" s="109"/>
      <c r="BB228" s="109"/>
      <c r="BC228" s="109"/>
    </row>
    <row r="229" spans="1:55" x14ac:dyDescent="0.2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  <c r="BA229" s="109"/>
      <c r="BB229" s="109"/>
      <c r="BC229" s="109"/>
    </row>
    <row r="230" spans="1:55" x14ac:dyDescent="0.2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  <c r="BA230" s="109"/>
      <c r="BB230" s="109"/>
      <c r="BC230" s="109"/>
    </row>
    <row r="231" spans="1:55" x14ac:dyDescent="0.2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  <c r="BA231" s="109"/>
      <c r="BB231" s="109"/>
      <c r="BC231" s="109"/>
    </row>
    <row r="232" spans="1:55" x14ac:dyDescent="0.2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  <c r="BA232" s="109"/>
      <c r="BB232" s="109"/>
      <c r="BC232" s="109"/>
    </row>
    <row r="233" spans="1:55" x14ac:dyDescent="0.2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  <c r="BA233" s="109"/>
      <c r="BB233" s="109"/>
      <c r="BC233" s="109"/>
    </row>
    <row r="234" spans="1:55" x14ac:dyDescent="0.2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</row>
    <row r="235" spans="1:55" x14ac:dyDescent="0.2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</row>
    <row r="236" spans="1:55" x14ac:dyDescent="0.2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</row>
    <row r="237" spans="1:55" x14ac:dyDescent="0.2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</row>
    <row r="238" spans="1:55" x14ac:dyDescent="0.2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</row>
    <row r="239" spans="1:55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</row>
    <row r="240" spans="1:55" x14ac:dyDescent="0.2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</row>
    <row r="241" spans="1:55" x14ac:dyDescent="0.2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</row>
    <row r="242" spans="1:55" x14ac:dyDescent="0.2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  <c r="BA242" s="109"/>
      <c r="BB242" s="109"/>
      <c r="BC242" s="109"/>
    </row>
    <row r="243" spans="1:55" x14ac:dyDescent="0.2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</row>
    <row r="244" spans="1:55" x14ac:dyDescent="0.2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</row>
    <row r="245" spans="1:55" x14ac:dyDescent="0.2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</row>
    <row r="246" spans="1:55" x14ac:dyDescent="0.2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</row>
    <row r="247" spans="1:55" x14ac:dyDescent="0.2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</row>
    <row r="248" spans="1:55" x14ac:dyDescent="0.2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</row>
    <row r="249" spans="1:55" x14ac:dyDescent="0.2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</row>
    <row r="250" spans="1:55" x14ac:dyDescent="0.2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</row>
    <row r="251" spans="1:55" x14ac:dyDescent="0.2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</row>
    <row r="252" spans="1:55" x14ac:dyDescent="0.2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</row>
    <row r="253" spans="1:55" x14ac:dyDescent="0.2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</row>
    <row r="254" spans="1:55" x14ac:dyDescent="0.2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</row>
    <row r="255" spans="1:55" x14ac:dyDescent="0.2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</row>
    <row r="256" spans="1:55" x14ac:dyDescent="0.2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</row>
    <row r="257" spans="1:55" x14ac:dyDescent="0.2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  <c r="BA257" s="109"/>
      <c r="BB257" s="109"/>
      <c r="BC257" s="109"/>
    </row>
    <row r="258" spans="1:55" x14ac:dyDescent="0.2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</row>
    <row r="259" spans="1:55" x14ac:dyDescent="0.2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</row>
    <row r="260" spans="1:55" x14ac:dyDescent="0.2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</row>
    <row r="261" spans="1:55" x14ac:dyDescent="0.2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</row>
    <row r="262" spans="1:55" x14ac:dyDescent="0.2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</row>
    <row r="263" spans="1:55" x14ac:dyDescent="0.2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</row>
    <row r="264" spans="1:55" x14ac:dyDescent="0.2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  <c r="BA264" s="109"/>
      <c r="BB264" s="109"/>
      <c r="BC264" s="109"/>
    </row>
    <row r="265" spans="1:55" x14ac:dyDescent="0.2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</row>
    <row r="266" spans="1:55" x14ac:dyDescent="0.2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  <c r="BA266" s="109"/>
      <c r="BB266" s="109"/>
      <c r="BC266" s="109"/>
    </row>
    <row r="267" spans="1:55" x14ac:dyDescent="0.2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  <c r="BA267" s="109"/>
      <c r="BB267" s="109"/>
      <c r="BC267" s="109"/>
    </row>
    <row r="268" spans="1:55" x14ac:dyDescent="0.2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  <c r="BA268" s="109"/>
      <c r="BB268" s="109"/>
      <c r="BC268" s="109"/>
    </row>
    <row r="269" spans="1:55" x14ac:dyDescent="0.2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  <c r="BA269" s="109"/>
      <c r="BB269" s="109"/>
      <c r="BC269" s="109"/>
    </row>
    <row r="270" spans="1:55" x14ac:dyDescent="0.2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</row>
    <row r="271" spans="1:55" x14ac:dyDescent="0.2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  <c r="BA271" s="109"/>
      <c r="BB271" s="109"/>
      <c r="BC271" s="109"/>
    </row>
    <row r="272" spans="1:55" x14ac:dyDescent="0.2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  <c r="BA272" s="109"/>
      <c r="BB272" s="109"/>
      <c r="BC272" s="109"/>
    </row>
    <row r="273" spans="1:55" x14ac:dyDescent="0.2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  <c r="BA273" s="109"/>
      <c r="BB273" s="109"/>
      <c r="BC273" s="109"/>
    </row>
    <row r="274" spans="1:55" x14ac:dyDescent="0.2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</row>
    <row r="275" spans="1:55" x14ac:dyDescent="0.2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  <c r="BA275" s="109"/>
      <c r="BB275" s="109"/>
      <c r="BC275" s="109"/>
    </row>
    <row r="276" spans="1:55" x14ac:dyDescent="0.2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09"/>
    </row>
    <row r="277" spans="1:55" x14ac:dyDescent="0.2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09"/>
    </row>
    <row r="278" spans="1:55" x14ac:dyDescent="0.2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09"/>
    </row>
    <row r="279" spans="1:55" x14ac:dyDescent="0.2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09"/>
    </row>
    <row r="280" spans="1:55" x14ac:dyDescent="0.2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09"/>
    </row>
    <row r="281" spans="1:55" x14ac:dyDescent="0.2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  <c r="BA281" s="109"/>
      <c r="BB281" s="109"/>
      <c r="BC281" s="109"/>
    </row>
    <row r="282" spans="1:55" x14ac:dyDescent="0.2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  <c r="BA282" s="109"/>
      <c r="BB282" s="109"/>
      <c r="BC282" s="109"/>
    </row>
    <row r="283" spans="1:55" x14ac:dyDescent="0.2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  <c r="BA283" s="109"/>
      <c r="BB283" s="109"/>
      <c r="BC283" s="109"/>
    </row>
    <row r="284" spans="1:55" x14ac:dyDescent="0.2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  <c r="BA284" s="109"/>
      <c r="BB284" s="109"/>
      <c r="BC284" s="109"/>
    </row>
    <row r="285" spans="1:55" x14ac:dyDescent="0.2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  <c r="BA285" s="109"/>
      <c r="BB285" s="109"/>
      <c r="BC285" s="109"/>
    </row>
    <row r="286" spans="1:55" x14ac:dyDescent="0.2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09"/>
      <c r="AY286" s="109"/>
      <c r="AZ286" s="109"/>
      <c r="BA286" s="109"/>
      <c r="BB286" s="109"/>
      <c r="BC286" s="109"/>
    </row>
    <row r="287" spans="1:55" x14ac:dyDescent="0.2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</row>
    <row r="288" spans="1:55" x14ac:dyDescent="0.2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09"/>
      <c r="AY288" s="109"/>
      <c r="AZ288" s="109"/>
      <c r="BA288" s="109"/>
      <c r="BB288" s="109"/>
      <c r="BC288" s="109"/>
    </row>
    <row r="289" spans="1:55" x14ac:dyDescent="0.2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09"/>
      <c r="AY289" s="109"/>
      <c r="AZ289" s="109"/>
      <c r="BA289" s="109"/>
      <c r="BB289" s="109"/>
      <c r="BC289" s="109"/>
    </row>
    <row r="290" spans="1:55" x14ac:dyDescent="0.2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09"/>
      <c r="AY290" s="109"/>
      <c r="AZ290" s="109"/>
      <c r="BA290" s="109"/>
      <c r="BB290" s="109"/>
      <c r="BC290" s="109"/>
    </row>
    <row r="291" spans="1:55" x14ac:dyDescent="0.2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  <c r="BA291" s="109"/>
      <c r="BB291" s="109"/>
      <c r="BC291" s="109"/>
    </row>
    <row r="292" spans="1:55" x14ac:dyDescent="0.2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09"/>
      <c r="AY292" s="109"/>
      <c r="AZ292" s="109"/>
      <c r="BA292" s="109"/>
      <c r="BB292" s="109"/>
      <c r="BC292" s="109"/>
    </row>
    <row r="293" spans="1:55" x14ac:dyDescent="0.2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  <c r="BA293" s="109"/>
      <c r="BB293" s="109"/>
      <c r="BC293" s="109"/>
    </row>
    <row r="294" spans="1:55" x14ac:dyDescent="0.2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09"/>
      <c r="AY294" s="109"/>
      <c r="AZ294" s="109"/>
      <c r="BA294" s="109"/>
      <c r="BB294" s="109"/>
      <c r="BC294" s="109"/>
    </row>
    <row r="295" spans="1:55" x14ac:dyDescent="0.2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09"/>
      <c r="AY295" s="109"/>
      <c r="AZ295" s="109"/>
      <c r="BA295" s="109"/>
      <c r="BB295" s="109"/>
      <c r="BC295" s="109"/>
    </row>
    <row r="296" spans="1:55" x14ac:dyDescent="0.2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  <c r="AW296" s="109"/>
      <c r="AX296" s="109"/>
      <c r="AY296" s="109"/>
      <c r="AZ296" s="109"/>
      <c r="BA296" s="109"/>
      <c r="BB296" s="109"/>
      <c r="BC296" s="109"/>
    </row>
    <row r="297" spans="1:55" x14ac:dyDescent="0.2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  <c r="BA297" s="109"/>
      <c r="BB297" s="109"/>
      <c r="BC297" s="109"/>
    </row>
    <row r="298" spans="1:55" x14ac:dyDescent="0.2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  <c r="AW298" s="109"/>
      <c r="AX298" s="109"/>
      <c r="AY298" s="109"/>
      <c r="AZ298" s="109"/>
      <c r="BA298" s="109"/>
      <c r="BB298" s="109"/>
      <c r="BC298" s="109"/>
    </row>
    <row r="299" spans="1:55" x14ac:dyDescent="0.2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  <c r="BA299" s="109"/>
      <c r="BB299" s="109"/>
      <c r="BC299" s="109"/>
    </row>
    <row r="300" spans="1:55" x14ac:dyDescent="0.2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  <c r="AW300" s="109"/>
      <c r="AX300" s="109"/>
      <c r="AY300" s="109"/>
      <c r="AZ300" s="109"/>
      <c r="BA300" s="109"/>
      <c r="BB300" s="109"/>
      <c r="BC300" s="109"/>
    </row>
    <row r="301" spans="1:55" x14ac:dyDescent="0.2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  <c r="AW301" s="109"/>
      <c r="AX301" s="109"/>
      <c r="AY301" s="109"/>
      <c r="AZ301" s="109"/>
      <c r="BA301" s="109"/>
      <c r="BB301" s="109"/>
      <c r="BC301" s="109"/>
    </row>
    <row r="302" spans="1:55" x14ac:dyDescent="0.2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  <c r="AW302" s="109"/>
      <c r="AX302" s="109"/>
      <c r="AY302" s="109"/>
      <c r="AZ302" s="109"/>
      <c r="BA302" s="109"/>
      <c r="BB302" s="109"/>
      <c r="BC302" s="109"/>
    </row>
    <row r="303" spans="1:55" x14ac:dyDescent="0.2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  <c r="AW303" s="109"/>
      <c r="AX303" s="109"/>
      <c r="AY303" s="109"/>
      <c r="AZ303" s="109"/>
      <c r="BA303" s="109"/>
      <c r="BB303" s="109"/>
      <c r="BC303" s="109"/>
    </row>
    <row r="304" spans="1:55" x14ac:dyDescent="0.2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  <c r="BA304" s="109"/>
      <c r="BB304" s="109"/>
      <c r="BC304" s="109"/>
    </row>
    <row r="305" spans="1:55" x14ac:dyDescent="0.2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  <c r="BA305" s="109"/>
      <c r="BB305" s="109"/>
      <c r="BC305" s="109"/>
    </row>
    <row r="306" spans="1:55" x14ac:dyDescent="0.2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  <c r="BA306" s="109"/>
      <c r="BB306" s="109"/>
      <c r="BC306" s="109"/>
    </row>
    <row r="307" spans="1:55" x14ac:dyDescent="0.2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  <c r="BA307" s="109"/>
      <c r="BB307" s="109"/>
      <c r="BC307" s="109"/>
    </row>
    <row r="308" spans="1:55" x14ac:dyDescent="0.2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</row>
    <row r="309" spans="1:55" x14ac:dyDescent="0.2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  <c r="BA309" s="109"/>
      <c r="BB309" s="109"/>
      <c r="BC309" s="109"/>
    </row>
    <row r="310" spans="1:55" x14ac:dyDescent="0.2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  <c r="BA310" s="109"/>
      <c r="BB310" s="109"/>
      <c r="BC310" s="109"/>
    </row>
    <row r="311" spans="1:55" x14ac:dyDescent="0.2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  <c r="AV311" s="109"/>
      <c r="AW311" s="109"/>
      <c r="AX311" s="109"/>
      <c r="AY311" s="109"/>
      <c r="AZ311" s="109"/>
      <c r="BA311" s="109"/>
      <c r="BB311" s="109"/>
      <c r="BC311" s="109"/>
    </row>
    <row r="312" spans="1:55" x14ac:dyDescent="0.2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  <c r="BA312" s="109"/>
      <c r="BB312" s="109"/>
      <c r="BC312" s="109"/>
    </row>
    <row r="313" spans="1:55" x14ac:dyDescent="0.2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  <c r="AV313" s="109"/>
      <c r="AW313" s="109"/>
      <c r="AX313" s="109"/>
      <c r="AY313" s="109"/>
      <c r="AZ313" s="109"/>
      <c r="BA313" s="109"/>
      <c r="BB313" s="109"/>
      <c r="BC313" s="109"/>
    </row>
    <row r="314" spans="1:55" x14ac:dyDescent="0.2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  <c r="AV314" s="109"/>
      <c r="AW314" s="109"/>
      <c r="AX314" s="109"/>
      <c r="AY314" s="109"/>
      <c r="AZ314" s="109"/>
      <c r="BA314" s="109"/>
      <c r="BB314" s="109"/>
      <c r="BC314" s="109"/>
    </row>
    <row r="315" spans="1:55" x14ac:dyDescent="0.2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  <c r="AV315" s="109"/>
      <c r="AW315" s="109"/>
      <c r="AX315" s="109"/>
      <c r="AY315" s="109"/>
      <c r="AZ315" s="109"/>
      <c r="BA315" s="109"/>
      <c r="BB315" s="109"/>
      <c r="BC315" s="109"/>
    </row>
    <row r="316" spans="1:55" x14ac:dyDescent="0.2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  <c r="AW316" s="109"/>
      <c r="AX316" s="109"/>
      <c r="AY316" s="109"/>
      <c r="AZ316" s="109"/>
      <c r="BA316" s="109"/>
      <c r="BB316" s="109"/>
      <c r="BC316" s="109"/>
    </row>
    <row r="317" spans="1:55" x14ac:dyDescent="0.2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  <c r="BA317" s="109"/>
      <c r="BB317" s="109"/>
      <c r="BC317" s="109"/>
    </row>
    <row r="318" spans="1:55" x14ac:dyDescent="0.2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  <c r="AW318" s="109"/>
      <c r="AX318" s="109"/>
      <c r="AY318" s="109"/>
      <c r="AZ318" s="109"/>
      <c r="BA318" s="109"/>
      <c r="BB318" s="109"/>
      <c r="BC318" s="109"/>
    </row>
    <row r="319" spans="1:55" x14ac:dyDescent="0.2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  <c r="BA319" s="109"/>
      <c r="BB319" s="109"/>
      <c r="BC319" s="109"/>
    </row>
    <row r="320" spans="1:55" x14ac:dyDescent="0.2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  <c r="AW320" s="109"/>
      <c r="AX320" s="109"/>
      <c r="AY320" s="109"/>
      <c r="AZ320" s="109"/>
      <c r="BA320" s="109"/>
      <c r="BB320" s="109"/>
      <c r="BC320" s="109"/>
    </row>
    <row r="321" spans="1:55" x14ac:dyDescent="0.2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  <c r="AW321" s="109"/>
      <c r="AX321" s="109"/>
      <c r="AY321" s="109"/>
      <c r="AZ321" s="109"/>
      <c r="BA321" s="109"/>
      <c r="BB321" s="109"/>
      <c r="BC321" s="109"/>
    </row>
    <row r="322" spans="1:55" x14ac:dyDescent="0.2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  <c r="BA322" s="109"/>
      <c r="BB322" s="109"/>
      <c r="BC322" s="109"/>
    </row>
    <row r="323" spans="1:55" x14ac:dyDescent="0.2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  <c r="AW323" s="109"/>
      <c r="AX323" s="109"/>
      <c r="AY323" s="109"/>
      <c r="AZ323" s="109"/>
      <c r="BA323" s="109"/>
      <c r="BB323" s="109"/>
      <c r="BC323" s="109"/>
    </row>
    <row r="324" spans="1:55" x14ac:dyDescent="0.2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  <c r="AW324" s="109"/>
      <c r="AX324" s="109"/>
      <c r="AY324" s="109"/>
      <c r="AZ324" s="109"/>
      <c r="BA324" s="109"/>
      <c r="BB324" s="109"/>
      <c r="BC324" s="109"/>
    </row>
    <row r="325" spans="1:55" x14ac:dyDescent="0.2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  <c r="AW325" s="109"/>
      <c r="AX325" s="109"/>
      <c r="AY325" s="109"/>
      <c r="AZ325" s="109"/>
      <c r="BA325" s="109"/>
      <c r="BB325" s="109"/>
      <c r="BC325" s="109"/>
    </row>
    <row r="326" spans="1:55" x14ac:dyDescent="0.2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  <c r="AW326" s="109"/>
      <c r="AX326" s="109"/>
      <c r="AY326" s="109"/>
      <c r="AZ326" s="109"/>
      <c r="BA326" s="109"/>
      <c r="BB326" s="109"/>
      <c r="BC326" s="109"/>
    </row>
    <row r="327" spans="1:55" x14ac:dyDescent="0.2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  <c r="AW327" s="109"/>
      <c r="AX327" s="109"/>
      <c r="AY327" s="109"/>
      <c r="AZ327" s="109"/>
      <c r="BA327" s="109"/>
      <c r="BB327" s="109"/>
      <c r="BC327" s="109"/>
    </row>
    <row r="328" spans="1:55" x14ac:dyDescent="0.2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AY328" s="109"/>
      <c r="AZ328" s="109"/>
      <c r="BA328" s="109"/>
      <c r="BB328" s="109"/>
      <c r="BC328" s="109"/>
    </row>
    <row r="329" spans="1:55" x14ac:dyDescent="0.2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  <c r="BA329" s="109"/>
      <c r="BB329" s="109"/>
      <c r="BC329" s="109"/>
    </row>
    <row r="330" spans="1:55" x14ac:dyDescent="0.2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  <c r="BA330" s="109"/>
      <c r="BB330" s="109"/>
      <c r="BC330" s="109"/>
    </row>
    <row r="331" spans="1:55" x14ac:dyDescent="0.2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  <c r="BA331" s="109"/>
      <c r="BB331" s="109"/>
      <c r="BC331" s="109"/>
    </row>
    <row r="332" spans="1:55" x14ac:dyDescent="0.2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  <c r="BA332" s="109"/>
      <c r="BB332" s="109"/>
      <c r="BC332" s="109"/>
    </row>
    <row r="333" spans="1:55" x14ac:dyDescent="0.2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  <c r="BA333" s="109"/>
      <c r="BB333" s="109"/>
      <c r="BC333" s="109"/>
    </row>
    <row r="334" spans="1:55" x14ac:dyDescent="0.2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  <c r="BA334" s="109"/>
      <c r="BB334" s="109"/>
      <c r="BC334" s="109"/>
    </row>
    <row r="335" spans="1:55" x14ac:dyDescent="0.2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  <c r="BA335" s="109"/>
      <c r="BB335" s="109"/>
      <c r="BC335" s="109"/>
    </row>
    <row r="336" spans="1:55" x14ac:dyDescent="0.2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  <c r="BA336" s="109"/>
      <c r="BB336" s="109"/>
      <c r="BC336" s="109"/>
    </row>
    <row r="337" spans="1:55" x14ac:dyDescent="0.2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AY337" s="109"/>
      <c r="AZ337" s="109"/>
      <c r="BA337" s="109"/>
      <c r="BB337" s="109"/>
      <c r="BC337" s="109"/>
    </row>
    <row r="338" spans="1:55" x14ac:dyDescent="0.2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AY338" s="109"/>
      <c r="AZ338" s="109"/>
      <c r="BA338" s="109"/>
      <c r="BB338" s="109"/>
      <c r="BC338" s="109"/>
    </row>
    <row r="339" spans="1:55" x14ac:dyDescent="0.2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AY339" s="109"/>
      <c r="AZ339" s="109"/>
      <c r="BA339" s="109"/>
      <c r="BB339" s="109"/>
      <c r="BC339" s="109"/>
    </row>
    <row r="340" spans="1:55" x14ac:dyDescent="0.2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AY340" s="109"/>
      <c r="AZ340" s="109"/>
      <c r="BA340" s="109"/>
      <c r="BB340" s="109"/>
      <c r="BC340" s="109"/>
    </row>
    <row r="341" spans="1:55" x14ac:dyDescent="0.2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  <c r="BA341" s="109"/>
      <c r="BB341" s="109"/>
      <c r="BC341" s="109"/>
    </row>
    <row r="342" spans="1:55" x14ac:dyDescent="0.2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  <c r="BA342" s="109"/>
      <c r="BB342" s="109"/>
      <c r="BC342" s="109"/>
    </row>
    <row r="343" spans="1:55" x14ac:dyDescent="0.2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  <c r="BA343" s="109"/>
      <c r="BB343" s="109"/>
      <c r="BC343" s="109"/>
    </row>
    <row r="344" spans="1:55" x14ac:dyDescent="0.2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  <c r="BA344" s="109"/>
      <c r="BB344" s="109"/>
      <c r="BC344" s="109"/>
    </row>
    <row r="345" spans="1:55" x14ac:dyDescent="0.2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  <c r="BA345" s="109"/>
      <c r="BB345" s="109"/>
      <c r="BC345" s="109"/>
    </row>
    <row r="346" spans="1:55" x14ac:dyDescent="0.2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  <c r="BA346" s="109"/>
      <c r="BB346" s="109"/>
      <c r="BC346" s="109"/>
    </row>
    <row r="347" spans="1:55" x14ac:dyDescent="0.2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  <c r="BA347" s="109"/>
      <c r="BB347" s="109"/>
      <c r="BC347" s="109"/>
    </row>
    <row r="348" spans="1:55" x14ac:dyDescent="0.2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AY348" s="109"/>
      <c r="AZ348" s="109"/>
      <c r="BA348" s="109"/>
      <c r="BB348" s="109"/>
      <c r="BC348" s="109"/>
    </row>
    <row r="349" spans="1:55" x14ac:dyDescent="0.2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AY349" s="109"/>
      <c r="AZ349" s="109"/>
      <c r="BA349" s="109"/>
      <c r="BB349" s="109"/>
      <c r="BC349" s="109"/>
    </row>
    <row r="350" spans="1:55" x14ac:dyDescent="0.2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AY350" s="109"/>
      <c r="AZ350" s="109"/>
      <c r="BA350" s="109"/>
      <c r="BB350" s="109"/>
      <c r="BC350" s="109"/>
    </row>
    <row r="351" spans="1:55" x14ac:dyDescent="0.2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AY351" s="109"/>
      <c r="AZ351" s="109"/>
      <c r="BA351" s="109"/>
      <c r="BB351" s="109"/>
      <c r="BC351" s="109"/>
    </row>
    <row r="352" spans="1:55" x14ac:dyDescent="0.2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  <c r="AW352" s="109"/>
      <c r="AX352" s="109"/>
      <c r="AY352" s="109"/>
      <c r="AZ352" s="109"/>
      <c r="BA352" s="109"/>
      <c r="BB352" s="109"/>
      <c r="BC352" s="109"/>
    </row>
    <row r="353" spans="1:55" x14ac:dyDescent="0.2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  <c r="AW353" s="109"/>
      <c r="AX353" s="109"/>
      <c r="AY353" s="109"/>
      <c r="AZ353" s="109"/>
      <c r="BA353" s="109"/>
      <c r="BB353" s="109"/>
      <c r="BC353" s="109"/>
    </row>
    <row r="354" spans="1:55" x14ac:dyDescent="0.2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  <c r="AW354" s="109"/>
      <c r="AX354" s="109"/>
      <c r="AY354" s="109"/>
      <c r="AZ354" s="109"/>
      <c r="BA354" s="109"/>
      <c r="BB354" s="109"/>
      <c r="BC354" s="109"/>
    </row>
    <row r="355" spans="1:55" x14ac:dyDescent="0.2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  <c r="AV355" s="109"/>
      <c r="AW355" s="109"/>
      <c r="AX355" s="109"/>
      <c r="AY355" s="109"/>
      <c r="AZ355" s="109"/>
      <c r="BA355" s="109"/>
      <c r="BB355" s="109"/>
      <c r="BC355" s="109"/>
    </row>
    <row r="356" spans="1:55" x14ac:dyDescent="0.2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  <c r="BA356" s="109"/>
      <c r="BB356" s="109"/>
      <c r="BC356" s="109"/>
    </row>
    <row r="357" spans="1:55" x14ac:dyDescent="0.2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  <c r="BA357" s="109"/>
      <c r="BB357" s="109"/>
      <c r="BC357" s="109"/>
    </row>
    <row r="358" spans="1:55" x14ac:dyDescent="0.2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  <c r="AV358" s="109"/>
      <c r="AW358" s="109"/>
      <c r="AX358" s="109"/>
      <c r="AY358" s="109"/>
      <c r="AZ358" s="109"/>
      <c r="BA358" s="109"/>
      <c r="BB358" s="109"/>
      <c r="BC358" s="109"/>
    </row>
    <row r="359" spans="1:55" x14ac:dyDescent="0.2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  <c r="AV359" s="109"/>
      <c r="AW359" s="109"/>
      <c r="AX359" s="109"/>
      <c r="AY359" s="109"/>
      <c r="AZ359" s="109"/>
      <c r="BA359" s="109"/>
      <c r="BB359" s="109"/>
      <c r="BC359" s="109"/>
    </row>
    <row r="360" spans="1:55" x14ac:dyDescent="0.2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  <c r="BA360" s="109"/>
      <c r="BB360" s="109"/>
      <c r="BC360" s="109"/>
    </row>
    <row r="361" spans="1:55" x14ac:dyDescent="0.2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  <c r="AW361" s="109"/>
      <c r="AX361" s="109"/>
      <c r="AY361" s="109"/>
      <c r="AZ361" s="109"/>
      <c r="BA361" s="109"/>
      <c r="BB361" s="109"/>
      <c r="BC361" s="109"/>
    </row>
    <row r="362" spans="1:55" x14ac:dyDescent="0.2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  <c r="AW362" s="109"/>
      <c r="AX362" s="109"/>
      <c r="AY362" s="109"/>
      <c r="AZ362" s="109"/>
      <c r="BA362" s="109"/>
      <c r="BB362" s="109"/>
      <c r="BC362" s="109"/>
    </row>
    <row r="363" spans="1:55" x14ac:dyDescent="0.2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  <c r="AW363" s="109"/>
      <c r="AX363" s="109"/>
      <c r="AY363" s="109"/>
      <c r="AZ363" s="109"/>
      <c r="BA363" s="109"/>
      <c r="BB363" s="109"/>
      <c r="BC363" s="109"/>
    </row>
    <row r="364" spans="1:55" x14ac:dyDescent="0.2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  <c r="AW364" s="109"/>
      <c r="AX364" s="109"/>
      <c r="AY364" s="109"/>
      <c r="AZ364" s="109"/>
      <c r="BA364" s="109"/>
      <c r="BB364" s="109"/>
      <c r="BC364" s="109"/>
    </row>
    <row r="365" spans="1:55" x14ac:dyDescent="0.2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  <c r="AV365" s="109"/>
      <c r="AW365" s="109"/>
      <c r="AX365" s="109"/>
      <c r="AY365" s="109"/>
      <c r="AZ365" s="109"/>
      <c r="BA365" s="109"/>
      <c r="BB365" s="109"/>
      <c r="BC365" s="109"/>
    </row>
    <row r="366" spans="1:55" x14ac:dyDescent="0.2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  <c r="AT366" s="109"/>
      <c r="AU366" s="109"/>
      <c r="AV366" s="109"/>
      <c r="AW366" s="109"/>
      <c r="AX366" s="109"/>
      <c r="AY366" s="109"/>
      <c r="AZ366" s="109"/>
      <c r="BA366" s="109"/>
      <c r="BB366" s="109"/>
      <c r="BC366" s="109"/>
    </row>
    <row r="367" spans="1:55" x14ac:dyDescent="0.2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  <c r="AT367" s="109"/>
      <c r="AU367" s="109"/>
      <c r="AV367" s="109"/>
      <c r="AW367" s="109"/>
      <c r="AX367" s="109"/>
      <c r="AY367" s="109"/>
      <c r="AZ367" s="109"/>
      <c r="BA367" s="109"/>
      <c r="BB367" s="109"/>
      <c r="BC367" s="109"/>
    </row>
    <row r="368" spans="1:55" x14ac:dyDescent="0.2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  <c r="AT368" s="109"/>
      <c r="AU368" s="109"/>
      <c r="AV368" s="109"/>
      <c r="AW368" s="109"/>
      <c r="AX368" s="109"/>
      <c r="AY368" s="109"/>
      <c r="AZ368" s="109"/>
      <c r="BA368" s="109"/>
      <c r="BB368" s="109"/>
      <c r="BC368" s="109"/>
    </row>
    <row r="369" spans="1:55" x14ac:dyDescent="0.2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  <c r="AT369" s="109"/>
      <c r="AU369" s="109"/>
      <c r="AV369" s="109"/>
      <c r="AW369" s="109"/>
      <c r="AX369" s="109"/>
      <c r="AY369" s="109"/>
      <c r="AZ369" s="109"/>
      <c r="BA369" s="109"/>
      <c r="BB369" s="109"/>
      <c r="BC369" s="109"/>
    </row>
    <row r="370" spans="1:55" x14ac:dyDescent="0.2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  <c r="AT370" s="109"/>
      <c r="AU370" s="109"/>
      <c r="AV370" s="109"/>
      <c r="AW370" s="109"/>
      <c r="AX370" s="109"/>
      <c r="AY370" s="109"/>
      <c r="AZ370" s="109"/>
      <c r="BA370" s="109"/>
      <c r="BB370" s="109"/>
      <c r="BC370" s="109"/>
    </row>
    <row r="371" spans="1:55" x14ac:dyDescent="0.2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  <c r="AT371" s="109"/>
      <c r="AU371" s="109"/>
      <c r="AV371" s="109"/>
      <c r="AW371" s="109"/>
      <c r="AX371" s="109"/>
      <c r="AY371" s="109"/>
      <c r="AZ371" s="109"/>
      <c r="BA371" s="109"/>
      <c r="BB371" s="109"/>
      <c r="BC371" s="109"/>
    </row>
    <row r="372" spans="1:55" x14ac:dyDescent="0.2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  <c r="AT372" s="109"/>
      <c r="AU372" s="109"/>
      <c r="AV372" s="109"/>
      <c r="AW372" s="109"/>
      <c r="AX372" s="109"/>
      <c r="AY372" s="109"/>
      <c r="AZ372" s="109"/>
      <c r="BA372" s="109"/>
      <c r="BB372" s="109"/>
      <c r="BC372" s="109"/>
    </row>
    <row r="373" spans="1:55" x14ac:dyDescent="0.2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09"/>
      <c r="AT373" s="109"/>
      <c r="AU373" s="109"/>
      <c r="AV373" s="109"/>
      <c r="AW373" s="109"/>
      <c r="AX373" s="109"/>
      <c r="AY373" s="109"/>
      <c r="AZ373" s="109"/>
      <c r="BA373" s="109"/>
      <c r="BB373" s="109"/>
      <c r="BC373" s="109"/>
    </row>
    <row r="374" spans="1:55" x14ac:dyDescent="0.2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09"/>
      <c r="AT374" s="109"/>
      <c r="AU374" s="109"/>
      <c r="AV374" s="109"/>
      <c r="AW374" s="109"/>
      <c r="AX374" s="109"/>
      <c r="AY374" s="109"/>
      <c r="AZ374" s="109"/>
      <c r="BA374" s="109"/>
      <c r="BB374" s="109"/>
      <c r="BC374" s="109"/>
    </row>
    <row r="375" spans="1:55" x14ac:dyDescent="0.2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9"/>
      <c r="AS375" s="109"/>
      <c r="AT375" s="109"/>
      <c r="AU375" s="109"/>
      <c r="AV375" s="109"/>
      <c r="AW375" s="109"/>
      <c r="AX375" s="109"/>
      <c r="AY375" s="109"/>
      <c r="AZ375" s="109"/>
      <c r="BA375" s="109"/>
      <c r="BB375" s="109"/>
      <c r="BC375" s="109"/>
    </row>
    <row r="376" spans="1:55" x14ac:dyDescent="0.2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9"/>
      <c r="AS376" s="109"/>
      <c r="AT376" s="109"/>
      <c r="AU376" s="109"/>
      <c r="AV376" s="109"/>
      <c r="AW376" s="109"/>
      <c r="AX376" s="109"/>
      <c r="AY376" s="109"/>
      <c r="AZ376" s="109"/>
      <c r="BA376" s="109"/>
      <c r="BB376" s="109"/>
      <c r="BC376" s="109"/>
    </row>
    <row r="377" spans="1:55" x14ac:dyDescent="0.2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9"/>
      <c r="AS377" s="109"/>
      <c r="AT377" s="109"/>
      <c r="AU377" s="109"/>
      <c r="AV377" s="109"/>
      <c r="AW377" s="109"/>
      <c r="AX377" s="109"/>
      <c r="AY377" s="109"/>
      <c r="AZ377" s="109"/>
      <c r="BA377" s="109"/>
      <c r="BB377" s="109"/>
      <c r="BC377" s="109"/>
    </row>
    <row r="378" spans="1:55" x14ac:dyDescent="0.2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9"/>
      <c r="AS378" s="109"/>
      <c r="AT378" s="109"/>
      <c r="AU378" s="109"/>
      <c r="AV378" s="109"/>
      <c r="AW378" s="109"/>
      <c r="AX378" s="109"/>
      <c r="AY378" s="109"/>
      <c r="AZ378" s="109"/>
      <c r="BA378" s="109"/>
      <c r="BB378" s="109"/>
      <c r="BC378" s="109"/>
    </row>
    <row r="379" spans="1:55" x14ac:dyDescent="0.2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9"/>
      <c r="AS379" s="109"/>
      <c r="AT379" s="109"/>
      <c r="AU379" s="109"/>
      <c r="AV379" s="109"/>
      <c r="AW379" s="109"/>
      <c r="AX379" s="109"/>
      <c r="AY379" s="109"/>
      <c r="AZ379" s="109"/>
      <c r="BA379" s="109"/>
      <c r="BB379" s="109"/>
      <c r="BC379" s="109"/>
    </row>
    <row r="380" spans="1:55" x14ac:dyDescent="0.2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  <c r="AL380" s="109"/>
      <c r="AM380" s="109"/>
      <c r="AN380" s="109"/>
      <c r="AO380" s="109"/>
      <c r="AP380" s="109"/>
      <c r="AQ380" s="109"/>
      <c r="AR380" s="109"/>
      <c r="AS380" s="109"/>
      <c r="AT380" s="109"/>
      <c r="AU380" s="109"/>
      <c r="AV380" s="109"/>
      <c r="AW380" s="109"/>
      <c r="AX380" s="109"/>
      <c r="AY380" s="109"/>
      <c r="AZ380" s="109"/>
      <c r="BA380" s="109"/>
      <c r="BB380" s="109"/>
      <c r="BC380" s="109"/>
    </row>
    <row r="381" spans="1:55" x14ac:dyDescent="0.2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9"/>
      <c r="AS381" s="109"/>
      <c r="AT381" s="109"/>
      <c r="AU381" s="109"/>
      <c r="AV381" s="109"/>
      <c r="AW381" s="109"/>
      <c r="AX381" s="109"/>
      <c r="AY381" s="109"/>
      <c r="AZ381" s="109"/>
      <c r="BA381" s="109"/>
      <c r="BB381" s="109"/>
      <c r="BC381" s="109"/>
    </row>
    <row r="382" spans="1:55" x14ac:dyDescent="0.2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9"/>
      <c r="AS382" s="109"/>
      <c r="AT382" s="109"/>
      <c r="AU382" s="109"/>
      <c r="AV382" s="109"/>
      <c r="AW382" s="109"/>
      <c r="AX382" s="109"/>
      <c r="AY382" s="109"/>
      <c r="AZ382" s="109"/>
      <c r="BA382" s="109"/>
      <c r="BB382" s="109"/>
      <c r="BC382" s="109"/>
    </row>
    <row r="383" spans="1:55" x14ac:dyDescent="0.2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9"/>
      <c r="AS383" s="109"/>
      <c r="AT383" s="109"/>
      <c r="AU383" s="109"/>
      <c r="AV383" s="109"/>
      <c r="AW383" s="109"/>
      <c r="AX383" s="109"/>
      <c r="AY383" s="109"/>
      <c r="AZ383" s="109"/>
      <c r="BA383" s="109"/>
      <c r="BB383" s="109"/>
      <c r="BC383" s="109"/>
    </row>
    <row r="384" spans="1:55" x14ac:dyDescent="0.2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9"/>
      <c r="AS384" s="109"/>
      <c r="AT384" s="109"/>
      <c r="AU384" s="109"/>
      <c r="AV384" s="109"/>
      <c r="AW384" s="109"/>
      <c r="AX384" s="109"/>
      <c r="AY384" s="109"/>
      <c r="AZ384" s="109"/>
      <c r="BA384" s="109"/>
      <c r="BB384" s="109"/>
      <c r="BC384" s="109"/>
    </row>
    <row r="385" spans="1:55" x14ac:dyDescent="0.2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  <c r="AT385" s="109"/>
      <c r="AU385" s="109"/>
      <c r="AV385" s="109"/>
      <c r="AW385" s="109"/>
      <c r="AX385" s="109"/>
      <c r="AY385" s="109"/>
      <c r="AZ385" s="109"/>
      <c r="BA385" s="109"/>
      <c r="BB385" s="109"/>
      <c r="BC385" s="109"/>
    </row>
    <row r="386" spans="1:55" x14ac:dyDescent="0.2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  <c r="AT386" s="109"/>
      <c r="AU386" s="109"/>
      <c r="AV386" s="109"/>
      <c r="AW386" s="109"/>
      <c r="AX386" s="109"/>
      <c r="AY386" s="109"/>
      <c r="AZ386" s="109"/>
      <c r="BA386" s="109"/>
      <c r="BB386" s="109"/>
      <c r="BC386" s="109"/>
    </row>
    <row r="387" spans="1:55" x14ac:dyDescent="0.2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  <c r="AT387" s="109"/>
      <c r="AU387" s="109"/>
      <c r="AV387" s="109"/>
      <c r="AW387" s="109"/>
      <c r="AX387" s="109"/>
      <c r="AY387" s="109"/>
      <c r="AZ387" s="109"/>
      <c r="BA387" s="109"/>
      <c r="BB387" s="109"/>
      <c r="BC387" s="109"/>
    </row>
    <row r="388" spans="1:55" x14ac:dyDescent="0.2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  <c r="AT388" s="109"/>
      <c r="AU388" s="109"/>
      <c r="AV388" s="109"/>
      <c r="AW388" s="109"/>
      <c r="AX388" s="109"/>
      <c r="AY388" s="109"/>
      <c r="AZ388" s="109"/>
      <c r="BA388" s="109"/>
      <c r="BB388" s="109"/>
      <c r="BC388" s="109"/>
    </row>
    <row r="389" spans="1:55" x14ac:dyDescent="0.2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  <c r="AT389" s="109"/>
      <c r="AU389" s="109"/>
      <c r="AV389" s="109"/>
      <c r="AW389" s="109"/>
      <c r="AX389" s="109"/>
      <c r="AY389" s="109"/>
      <c r="AZ389" s="109"/>
      <c r="BA389" s="109"/>
      <c r="BB389" s="109"/>
      <c r="BC389" s="109"/>
    </row>
    <row r="390" spans="1:55" x14ac:dyDescent="0.2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  <c r="AT390" s="109"/>
      <c r="AU390" s="109"/>
      <c r="AV390" s="109"/>
      <c r="AW390" s="109"/>
      <c r="AX390" s="109"/>
      <c r="AY390" s="109"/>
      <c r="AZ390" s="109"/>
      <c r="BA390" s="109"/>
      <c r="BB390" s="109"/>
      <c r="BC390" s="109"/>
    </row>
    <row r="391" spans="1:55" x14ac:dyDescent="0.2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  <c r="BA391" s="109"/>
      <c r="BB391" s="109"/>
      <c r="BC391" s="109"/>
    </row>
    <row r="392" spans="1:55" x14ac:dyDescent="0.2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  <c r="AT392" s="109"/>
      <c r="AU392" s="109"/>
      <c r="AV392" s="109"/>
      <c r="AW392" s="109"/>
      <c r="AX392" s="109"/>
      <c r="AY392" s="109"/>
      <c r="AZ392" s="109"/>
      <c r="BA392" s="109"/>
      <c r="BB392" s="109"/>
      <c r="BC392" s="109"/>
    </row>
    <row r="393" spans="1:55" x14ac:dyDescent="0.2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  <c r="AT393" s="109"/>
      <c r="AU393" s="109"/>
      <c r="AV393" s="109"/>
      <c r="AW393" s="109"/>
      <c r="AX393" s="109"/>
      <c r="AY393" s="109"/>
      <c r="AZ393" s="109"/>
      <c r="BA393" s="109"/>
      <c r="BB393" s="109"/>
      <c r="BC393" s="109"/>
    </row>
    <row r="394" spans="1:55" x14ac:dyDescent="0.2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  <c r="AT394" s="109"/>
      <c r="AU394" s="109"/>
      <c r="AV394" s="109"/>
      <c r="AW394" s="109"/>
      <c r="AX394" s="109"/>
      <c r="AY394" s="109"/>
      <c r="AZ394" s="109"/>
      <c r="BA394" s="109"/>
      <c r="BB394" s="109"/>
      <c r="BC394" s="109"/>
    </row>
    <row r="395" spans="1:55" x14ac:dyDescent="0.2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  <c r="AT395" s="109"/>
      <c r="AU395" s="109"/>
      <c r="AV395" s="109"/>
      <c r="AW395" s="109"/>
      <c r="AX395" s="109"/>
      <c r="AY395" s="109"/>
      <c r="AZ395" s="109"/>
      <c r="BA395" s="109"/>
      <c r="BB395" s="109"/>
      <c r="BC395" s="109"/>
    </row>
    <row r="396" spans="1:55" x14ac:dyDescent="0.2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  <c r="AT396" s="109"/>
      <c r="AU396" s="109"/>
      <c r="AV396" s="109"/>
      <c r="AW396" s="109"/>
      <c r="AX396" s="109"/>
      <c r="AY396" s="109"/>
      <c r="AZ396" s="109"/>
      <c r="BA396" s="109"/>
      <c r="BB396" s="109"/>
      <c r="BC396" s="109"/>
    </row>
    <row r="397" spans="1:55" x14ac:dyDescent="0.2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9"/>
      <c r="AS397" s="109"/>
      <c r="AT397" s="109"/>
      <c r="AU397" s="109"/>
      <c r="AV397" s="109"/>
      <c r="AW397" s="109"/>
      <c r="AX397" s="109"/>
      <c r="AY397" s="109"/>
      <c r="AZ397" s="109"/>
      <c r="BA397" s="109"/>
      <c r="BB397" s="109"/>
      <c r="BC397" s="109"/>
    </row>
    <row r="398" spans="1:55" x14ac:dyDescent="0.2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09"/>
      <c r="AT398" s="109"/>
      <c r="AU398" s="109"/>
      <c r="AV398" s="109"/>
      <c r="AW398" s="109"/>
      <c r="AX398" s="109"/>
      <c r="AY398" s="109"/>
      <c r="AZ398" s="109"/>
      <c r="BA398" s="109"/>
      <c r="BB398" s="109"/>
      <c r="BC398" s="109"/>
    </row>
    <row r="399" spans="1:55" x14ac:dyDescent="0.2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09"/>
      <c r="AT399" s="109"/>
      <c r="AU399" s="109"/>
      <c r="AV399" s="109"/>
      <c r="AW399" s="109"/>
      <c r="AX399" s="109"/>
      <c r="AY399" s="109"/>
      <c r="AZ399" s="109"/>
      <c r="BA399" s="109"/>
      <c r="BB399" s="109"/>
      <c r="BC399" s="109"/>
    </row>
    <row r="400" spans="1:55" x14ac:dyDescent="0.2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09"/>
      <c r="AT400" s="109"/>
      <c r="AU400" s="109"/>
      <c r="AV400" s="109"/>
      <c r="AW400" s="109"/>
      <c r="AX400" s="109"/>
      <c r="AY400" s="109"/>
      <c r="AZ400" s="109"/>
      <c r="BA400" s="109"/>
      <c r="BB400" s="109"/>
      <c r="BC400" s="109"/>
    </row>
    <row r="401" spans="1:55" x14ac:dyDescent="0.2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09"/>
      <c r="AT401" s="109"/>
      <c r="AU401" s="109"/>
      <c r="AV401" s="109"/>
      <c r="AW401" s="109"/>
      <c r="AX401" s="109"/>
      <c r="AY401" s="109"/>
      <c r="AZ401" s="109"/>
      <c r="BA401" s="109"/>
      <c r="BB401" s="109"/>
      <c r="BC401" s="109"/>
    </row>
    <row r="402" spans="1:55" x14ac:dyDescent="0.2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09"/>
      <c r="AT402" s="109"/>
      <c r="AU402" s="109"/>
      <c r="AV402" s="109"/>
      <c r="AW402" s="109"/>
      <c r="AX402" s="109"/>
      <c r="AY402" s="109"/>
      <c r="AZ402" s="109"/>
      <c r="BA402" s="109"/>
      <c r="BB402" s="109"/>
      <c r="BC402" s="109"/>
    </row>
    <row r="403" spans="1:55" x14ac:dyDescent="0.2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9"/>
      <c r="AS403" s="109"/>
      <c r="AT403" s="109"/>
      <c r="AU403" s="109"/>
      <c r="AV403" s="109"/>
      <c r="AW403" s="109"/>
      <c r="AX403" s="109"/>
      <c r="AY403" s="109"/>
      <c r="AZ403" s="109"/>
      <c r="BA403" s="109"/>
      <c r="BB403" s="109"/>
      <c r="BC403" s="109"/>
    </row>
    <row r="404" spans="1:55" x14ac:dyDescent="0.2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9"/>
      <c r="AS404" s="109"/>
      <c r="AT404" s="109"/>
      <c r="AU404" s="109"/>
      <c r="AV404" s="109"/>
      <c r="AW404" s="109"/>
      <c r="AX404" s="109"/>
      <c r="AY404" s="109"/>
      <c r="AZ404" s="109"/>
      <c r="BA404" s="109"/>
      <c r="BB404" s="109"/>
      <c r="BC404" s="109"/>
    </row>
    <row r="405" spans="1:55" x14ac:dyDescent="0.2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9"/>
      <c r="AS405" s="109"/>
      <c r="AT405" s="109"/>
      <c r="AU405" s="109"/>
      <c r="AV405" s="109"/>
      <c r="AW405" s="109"/>
      <c r="AX405" s="109"/>
      <c r="AY405" s="109"/>
      <c r="AZ405" s="109"/>
      <c r="BA405" s="109"/>
      <c r="BB405" s="109"/>
      <c r="BC405" s="109"/>
    </row>
    <row r="406" spans="1:55" x14ac:dyDescent="0.2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  <c r="AT406" s="109"/>
      <c r="AU406" s="109"/>
      <c r="AV406" s="109"/>
      <c r="AW406" s="109"/>
      <c r="AX406" s="109"/>
      <c r="AY406" s="109"/>
      <c r="AZ406" s="109"/>
      <c r="BA406" s="109"/>
      <c r="BB406" s="109"/>
      <c r="BC406" s="109"/>
    </row>
    <row r="407" spans="1:55" x14ac:dyDescent="0.2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9"/>
      <c r="AS407" s="109"/>
      <c r="AT407" s="109"/>
      <c r="AU407" s="109"/>
      <c r="AV407" s="109"/>
      <c r="AW407" s="109"/>
      <c r="AX407" s="109"/>
      <c r="AY407" s="109"/>
      <c r="AZ407" s="109"/>
      <c r="BA407" s="109"/>
      <c r="BB407" s="109"/>
      <c r="BC407" s="109"/>
    </row>
    <row r="408" spans="1:55" x14ac:dyDescent="0.2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9"/>
      <c r="AS408" s="109"/>
      <c r="AT408" s="109"/>
      <c r="AU408" s="109"/>
      <c r="AV408" s="109"/>
      <c r="AW408" s="109"/>
      <c r="AX408" s="109"/>
      <c r="AY408" s="109"/>
      <c r="AZ408" s="109"/>
      <c r="BA408" s="109"/>
      <c r="BB408" s="109"/>
      <c r="BC408" s="109"/>
    </row>
    <row r="409" spans="1:55" x14ac:dyDescent="0.2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  <c r="AT409" s="109"/>
      <c r="AU409" s="109"/>
      <c r="AV409" s="109"/>
      <c r="AW409" s="109"/>
      <c r="AX409" s="109"/>
      <c r="AY409" s="109"/>
      <c r="AZ409" s="109"/>
      <c r="BA409" s="109"/>
      <c r="BB409" s="109"/>
      <c r="BC409" s="109"/>
    </row>
    <row r="410" spans="1:55" x14ac:dyDescent="0.2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  <c r="AT410" s="109"/>
      <c r="AU410" s="109"/>
      <c r="AV410" s="109"/>
      <c r="AW410" s="109"/>
      <c r="AX410" s="109"/>
      <c r="AY410" s="109"/>
      <c r="AZ410" s="109"/>
      <c r="BA410" s="109"/>
      <c r="BB410" s="109"/>
      <c r="BC410" s="109"/>
    </row>
    <row r="411" spans="1:55" x14ac:dyDescent="0.2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  <c r="AT411" s="109"/>
      <c r="AU411" s="109"/>
      <c r="AV411" s="109"/>
      <c r="AW411" s="109"/>
      <c r="AX411" s="109"/>
      <c r="AY411" s="109"/>
      <c r="AZ411" s="109"/>
      <c r="BA411" s="109"/>
      <c r="BB411" s="109"/>
      <c r="BC411" s="109"/>
    </row>
    <row r="412" spans="1:55" x14ac:dyDescent="0.2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  <c r="AV412" s="109"/>
      <c r="AW412" s="109"/>
      <c r="AX412" s="109"/>
      <c r="AY412" s="109"/>
      <c r="AZ412" s="109"/>
      <c r="BA412" s="109"/>
      <c r="BB412" s="109"/>
      <c r="BC412" s="109"/>
    </row>
    <row r="413" spans="1:55" x14ac:dyDescent="0.2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  <c r="AT413" s="109"/>
      <c r="AU413" s="109"/>
      <c r="AV413" s="109"/>
      <c r="AW413" s="109"/>
      <c r="AX413" s="109"/>
      <c r="AY413" s="109"/>
      <c r="AZ413" s="109"/>
      <c r="BA413" s="109"/>
      <c r="BB413" s="109"/>
      <c r="BC413" s="109"/>
    </row>
    <row r="414" spans="1:55" x14ac:dyDescent="0.2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  <c r="AT414" s="109"/>
      <c r="AU414" s="109"/>
      <c r="AV414" s="109"/>
      <c r="AW414" s="109"/>
      <c r="AX414" s="109"/>
      <c r="AY414" s="109"/>
      <c r="AZ414" s="109"/>
      <c r="BA414" s="109"/>
      <c r="BB414" s="109"/>
      <c r="BC414" s="109"/>
    </row>
    <row r="415" spans="1:55" x14ac:dyDescent="0.2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  <c r="AT415" s="109"/>
      <c r="AU415" s="109"/>
      <c r="AV415" s="109"/>
      <c r="AW415" s="109"/>
      <c r="AX415" s="109"/>
      <c r="AY415" s="109"/>
      <c r="AZ415" s="109"/>
      <c r="BA415" s="109"/>
      <c r="BB415" s="109"/>
      <c r="BC415" s="109"/>
    </row>
    <row r="416" spans="1:55" x14ac:dyDescent="0.2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  <c r="AT416" s="109"/>
      <c r="AU416" s="109"/>
      <c r="AV416" s="109"/>
      <c r="AW416" s="109"/>
      <c r="AX416" s="109"/>
      <c r="AY416" s="109"/>
      <c r="AZ416" s="109"/>
      <c r="BA416" s="109"/>
      <c r="BB416" s="109"/>
      <c r="BC416" s="109"/>
    </row>
    <row r="417" spans="1:55" x14ac:dyDescent="0.2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  <c r="AT417" s="109"/>
      <c r="AU417" s="109"/>
      <c r="AV417" s="109"/>
      <c r="AW417" s="109"/>
      <c r="AX417" s="109"/>
      <c r="AY417" s="109"/>
      <c r="AZ417" s="109"/>
      <c r="BA417" s="109"/>
      <c r="BB417" s="109"/>
      <c r="BC417" s="109"/>
    </row>
    <row r="418" spans="1:55" x14ac:dyDescent="0.2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  <c r="AT418" s="109"/>
      <c r="AU418" s="109"/>
      <c r="AV418" s="109"/>
      <c r="AW418" s="109"/>
      <c r="AX418" s="109"/>
      <c r="AY418" s="109"/>
      <c r="AZ418" s="109"/>
      <c r="BA418" s="109"/>
      <c r="BB418" s="109"/>
      <c r="BC418" s="109"/>
    </row>
    <row r="419" spans="1:55" x14ac:dyDescent="0.2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  <c r="AT419" s="109"/>
      <c r="AU419" s="109"/>
      <c r="AV419" s="109"/>
      <c r="AW419" s="109"/>
      <c r="AX419" s="109"/>
      <c r="AY419" s="109"/>
      <c r="AZ419" s="109"/>
      <c r="BA419" s="109"/>
      <c r="BB419" s="109"/>
      <c r="BC419" s="109"/>
    </row>
    <row r="420" spans="1:55" x14ac:dyDescent="0.2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  <c r="AT420" s="109"/>
      <c r="AU420" s="109"/>
      <c r="AV420" s="109"/>
      <c r="AW420" s="109"/>
      <c r="AX420" s="109"/>
      <c r="AY420" s="109"/>
      <c r="AZ420" s="109"/>
      <c r="BA420" s="109"/>
      <c r="BB420" s="109"/>
      <c r="BC420" s="109"/>
    </row>
    <row r="421" spans="1:55" x14ac:dyDescent="0.2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9"/>
      <c r="AS421" s="109"/>
      <c r="AT421" s="109"/>
      <c r="AU421" s="109"/>
      <c r="AV421" s="109"/>
      <c r="AW421" s="109"/>
      <c r="AX421" s="109"/>
      <c r="AY421" s="109"/>
      <c r="AZ421" s="109"/>
      <c r="BA421" s="109"/>
      <c r="BB421" s="109"/>
      <c r="BC421" s="109"/>
    </row>
    <row r="422" spans="1:55" x14ac:dyDescent="0.2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9"/>
      <c r="AS422" s="109"/>
      <c r="AT422" s="109"/>
      <c r="AU422" s="109"/>
      <c r="AV422" s="109"/>
      <c r="AW422" s="109"/>
      <c r="AX422" s="109"/>
      <c r="AY422" s="109"/>
      <c r="AZ422" s="109"/>
      <c r="BA422" s="109"/>
      <c r="BB422" s="109"/>
      <c r="BC422" s="109"/>
    </row>
    <row r="423" spans="1:55" x14ac:dyDescent="0.2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9"/>
      <c r="AS423" s="109"/>
      <c r="AT423" s="109"/>
      <c r="AU423" s="109"/>
      <c r="AV423" s="109"/>
      <c r="AW423" s="109"/>
      <c r="AX423" s="109"/>
      <c r="AY423" s="109"/>
      <c r="AZ423" s="109"/>
      <c r="BA423" s="109"/>
      <c r="BB423" s="109"/>
      <c r="BC423" s="109"/>
    </row>
    <row r="424" spans="1:55" x14ac:dyDescent="0.2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9"/>
      <c r="AS424" s="109"/>
      <c r="AT424" s="109"/>
      <c r="AU424" s="109"/>
      <c r="AV424" s="109"/>
      <c r="AW424" s="109"/>
      <c r="AX424" s="109"/>
      <c r="AY424" s="109"/>
      <c r="AZ424" s="109"/>
      <c r="BA424" s="109"/>
      <c r="BB424" s="109"/>
      <c r="BC424" s="109"/>
    </row>
    <row r="425" spans="1:55" x14ac:dyDescent="0.2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  <c r="AT425" s="109"/>
      <c r="AU425" s="109"/>
      <c r="AV425" s="109"/>
      <c r="AW425" s="109"/>
      <c r="AX425" s="109"/>
      <c r="AY425" s="109"/>
      <c r="AZ425" s="109"/>
      <c r="BA425" s="109"/>
      <c r="BB425" s="109"/>
      <c r="BC425" s="109"/>
    </row>
    <row r="426" spans="1:55" x14ac:dyDescent="0.2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9"/>
      <c r="AS426" s="109"/>
      <c r="AT426" s="109"/>
      <c r="AU426" s="109"/>
      <c r="AV426" s="109"/>
      <c r="AW426" s="109"/>
      <c r="AX426" s="109"/>
      <c r="AY426" s="109"/>
      <c r="AZ426" s="109"/>
      <c r="BA426" s="109"/>
      <c r="BB426" s="109"/>
      <c r="BC426" s="109"/>
    </row>
    <row r="427" spans="1:55" x14ac:dyDescent="0.2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9"/>
      <c r="AS427" s="109"/>
      <c r="AT427" s="109"/>
      <c r="AU427" s="109"/>
      <c r="AV427" s="109"/>
      <c r="AW427" s="109"/>
      <c r="AX427" s="109"/>
      <c r="AY427" s="109"/>
      <c r="AZ427" s="109"/>
      <c r="BA427" s="109"/>
      <c r="BB427" s="109"/>
      <c r="BC427" s="109"/>
    </row>
    <row r="428" spans="1:55" x14ac:dyDescent="0.2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9"/>
      <c r="AS428" s="109"/>
      <c r="AT428" s="109"/>
      <c r="AU428" s="109"/>
      <c r="AV428" s="109"/>
      <c r="AW428" s="109"/>
      <c r="AX428" s="109"/>
      <c r="AY428" s="109"/>
      <c r="AZ428" s="109"/>
      <c r="BA428" s="109"/>
      <c r="BB428" s="109"/>
      <c r="BC428" s="109"/>
    </row>
    <row r="429" spans="1:55" x14ac:dyDescent="0.2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9"/>
      <c r="AS429" s="109"/>
      <c r="AT429" s="109"/>
      <c r="AU429" s="109"/>
      <c r="AV429" s="109"/>
      <c r="AW429" s="109"/>
      <c r="AX429" s="109"/>
      <c r="AY429" s="109"/>
      <c r="AZ429" s="109"/>
      <c r="BA429" s="109"/>
      <c r="BB429" s="109"/>
      <c r="BC429" s="109"/>
    </row>
    <row r="430" spans="1:55" x14ac:dyDescent="0.2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9"/>
      <c r="AS430" s="109"/>
      <c r="AT430" s="109"/>
      <c r="AU430" s="109"/>
      <c r="AV430" s="109"/>
      <c r="AW430" s="109"/>
      <c r="AX430" s="109"/>
      <c r="AY430" s="109"/>
      <c r="AZ430" s="109"/>
      <c r="BA430" s="109"/>
      <c r="BB430" s="109"/>
      <c r="BC430" s="109"/>
    </row>
    <row r="431" spans="1:55" x14ac:dyDescent="0.2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9"/>
      <c r="AS431" s="109"/>
      <c r="AT431" s="109"/>
      <c r="AU431" s="109"/>
      <c r="AV431" s="109"/>
      <c r="AW431" s="109"/>
      <c r="AX431" s="109"/>
      <c r="AY431" s="109"/>
      <c r="AZ431" s="109"/>
      <c r="BA431" s="109"/>
      <c r="BB431" s="109"/>
      <c r="BC431" s="109"/>
    </row>
    <row r="432" spans="1:55" x14ac:dyDescent="0.2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9"/>
      <c r="AS432" s="109"/>
      <c r="AT432" s="109"/>
      <c r="AU432" s="109"/>
      <c r="AV432" s="109"/>
      <c r="AW432" s="109"/>
      <c r="AX432" s="109"/>
      <c r="AY432" s="109"/>
      <c r="AZ432" s="109"/>
      <c r="BA432" s="109"/>
      <c r="BB432" s="109"/>
      <c r="BC432" s="109"/>
    </row>
    <row r="433" spans="1:55" x14ac:dyDescent="0.2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  <c r="AT433" s="109"/>
      <c r="AU433" s="109"/>
      <c r="AV433" s="109"/>
      <c r="AW433" s="109"/>
      <c r="AX433" s="109"/>
      <c r="AY433" s="109"/>
      <c r="AZ433" s="109"/>
      <c r="BA433" s="109"/>
      <c r="BB433" s="109"/>
      <c r="BC433" s="109"/>
    </row>
    <row r="434" spans="1:55" x14ac:dyDescent="0.2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  <c r="AT434" s="109"/>
      <c r="AU434" s="109"/>
      <c r="AV434" s="109"/>
      <c r="AW434" s="109"/>
      <c r="AX434" s="109"/>
      <c r="AY434" s="109"/>
      <c r="AZ434" s="109"/>
      <c r="BA434" s="109"/>
      <c r="BB434" s="109"/>
      <c r="BC434" s="109"/>
    </row>
    <row r="435" spans="1:55" x14ac:dyDescent="0.2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  <c r="AT435" s="109"/>
      <c r="AU435" s="109"/>
      <c r="AV435" s="109"/>
      <c r="AW435" s="109"/>
      <c r="AX435" s="109"/>
      <c r="AY435" s="109"/>
      <c r="AZ435" s="109"/>
      <c r="BA435" s="109"/>
      <c r="BB435" s="109"/>
      <c r="BC435" s="109"/>
    </row>
    <row r="436" spans="1:55" x14ac:dyDescent="0.2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  <c r="AT436" s="109"/>
      <c r="AU436" s="109"/>
      <c r="AV436" s="109"/>
      <c r="AW436" s="109"/>
      <c r="AX436" s="109"/>
      <c r="AY436" s="109"/>
      <c r="AZ436" s="109"/>
      <c r="BA436" s="109"/>
      <c r="BB436" s="109"/>
      <c r="BC436" s="109"/>
    </row>
    <row r="437" spans="1:55" x14ac:dyDescent="0.2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  <c r="AT437" s="109"/>
      <c r="AU437" s="109"/>
      <c r="AV437" s="109"/>
      <c r="AW437" s="109"/>
      <c r="AX437" s="109"/>
      <c r="AY437" s="109"/>
      <c r="AZ437" s="109"/>
      <c r="BA437" s="109"/>
      <c r="BB437" s="109"/>
      <c r="BC437" s="109"/>
    </row>
    <row r="438" spans="1:55" x14ac:dyDescent="0.2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  <c r="AT438" s="109"/>
      <c r="AU438" s="109"/>
      <c r="AV438" s="109"/>
      <c r="AW438" s="109"/>
      <c r="AX438" s="109"/>
      <c r="AY438" s="109"/>
      <c r="AZ438" s="109"/>
      <c r="BA438" s="109"/>
      <c r="BB438" s="109"/>
      <c r="BC438" s="109"/>
    </row>
    <row r="439" spans="1:55" x14ac:dyDescent="0.2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  <c r="AT439" s="109"/>
      <c r="AU439" s="109"/>
      <c r="AV439" s="109"/>
      <c r="AW439" s="109"/>
      <c r="AX439" s="109"/>
      <c r="AY439" s="109"/>
      <c r="AZ439" s="109"/>
      <c r="BA439" s="109"/>
      <c r="BB439" s="109"/>
      <c r="BC439" s="109"/>
    </row>
    <row r="440" spans="1:55" x14ac:dyDescent="0.2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  <c r="AT440" s="109"/>
      <c r="AU440" s="109"/>
      <c r="AV440" s="109"/>
      <c r="AW440" s="109"/>
      <c r="AX440" s="109"/>
      <c r="AY440" s="109"/>
      <c r="AZ440" s="109"/>
      <c r="BA440" s="109"/>
      <c r="BB440" s="109"/>
      <c r="BC440" s="109"/>
    </row>
    <row r="441" spans="1:55" x14ac:dyDescent="0.2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  <c r="AT441" s="109"/>
      <c r="AU441" s="109"/>
      <c r="AV441" s="109"/>
      <c r="AW441" s="109"/>
      <c r="AX441" s="109"/>
      <c r="AY441" s="109"/>
      <c r="AZ441" s="109"/>
      <c r="BA441" s="109"/>
      <c r="BB441" s="109"/>
      <c r="BC441" s="109"/>
    </row>
    <row r="442" spans="1:55" x14ac:dyDescent="0.2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  <c r="AT442" s="109"/>
      <c r="AU442" s="109"/>
      <c r="AV442" s="109"/>
      <c r="AW442" s="109"/>
      <c r="AX442" s="109"/>
      <c r="AY442" s="109"/>
      <c r="AZ442" s="109"/>
      <c r="BA442" s="109"/>
      <c r="BB442" s="109"/>
      <c r="BC442" s="109"/>
    </row>
    <row r="443" spans="1:55" x14ac:dyDescent="0.2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  <c r="AT443" s="109"/>
      <c r="AU443" s="109"/>
      <c r="AV443" s="109"/>
      <c r="AW443" s="109"/>
      <c r="AX443" s="109"/>
      <c r="AY443" s="109"/>
      <c r="AZ443" s="109"/>
      <c r="BA443" s="109"/>
      <c r="BB443" s="109"/>
      <c r="BC443" s="109"/>
    </row>
    <row r="444" spans="1:55" x14ac:dyDescent="0.2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  <c r="AT444" s="109"/>
      <c r="AU444" s="109"/>
      <c r="AV444" s="109"/>
      <c r="AW444" s="109"/>
      <c r="AX444" s="109"/>
      <c r="AY444" s="109"/>
      <c r="AZ444" s="109"/>
      <c r="BA444" s="109"/>
      <c r="BB444" s="109"/>
      <c r="BC444" s="109"/>
    </row>
    <row r="445" spans="1:55" x14ac:dyDescent="0.2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  <c r="AT445" s="109"/>
      <c r="AU445" s="109"/>
      <c r="AV445" s="109"/>
      <c r="AW445" s="109"/>
      <c r="AX445" s="109"/>
      <c r="AY445" s="109"/>
      <c r="AZ445" s="109"/>
      <c r="BA445" s="109"/>
      <c r="BB445" s="109"/>
      <c r="BC445" s="109"/>
    </row>
    <row r="446" spans="1:55" x14ac:dyDescent="0.2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  <c r="AT446" s="109"/>
      <c r="AU446" s="109"/>
      <c r="AV446" s="109"/>
      <c r="AW446" s="109"/>
      <c r="AX446" s="109"/>
      <c r="AY446" s="109"/>
      <c r="AZ446" s="109"/>
      <c r="BA446" s="109"/>
      <c r="BB446" s="109"/>
      <c r="BC446" s="109"/>
    </row>
    <row r="447" spans="1:55" x14ac:dyDescent="0.2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  <c r="AT447" s="109"/>
      <c r="AU447" s="109"/>
      <c r="AV447" s="109"/>
      <c r="AW447" s="109"/>
      <c r="AX447" s="109"/>
      <c r="AY447" s="109"/>
      <c r="AZ447" s="109"/>
      <c r="BA447" s="109"/>
      <c r="BB447" s="109"/>
      <c r="BC447" s="109"/>
    </row>
    <row r="448" spans="1:55" x14ac:dyDescent="0.2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  <c r="AT448" s="109"/>
      <c r="AU448" s="109"/>
      <c r="AV448" s="109"/>
      <c r="AW448" s="109"/>
      <c r="AX448" s="109"/>
      <c r="AY448" s="109"/>
      <c r="AZ448" s="109"/>
      <c r="BA448" s="109"/>
      <c r="BB448" s="109"/>
      <c r="BC448" s="109"/>
    </row>
    <row r="449" spans="1:55" x14ac:dyDescent="0.2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  <c r="AT449" s="109"/>
      <c r="AU449" s="109"/>
      <c r="AV449" s="109"/>
      <c r="AW449" s="109"/>
      <c r="AX449" s="109"/>
      <c r="AY449" s="109"/>
      <c r="AZ449" s="109"/>
      <c r="BA449" s="109"/>
      <c r="BB449" s="109"/>
      <c r="BC449" s="109"/>
    </row>
    <row r="450" spans="1:55" x14ac:dyDescent="0.2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  <c r="AT450" s="109"/>
      <c r="AU450" s="109"/>
      <c r="AV450" s="109"/>
      <c r="AW450" s="109"/>
      <c r="AX450" s="109"/>
      <c r="AY450" s="109"/>
      <c r="AZ450" s="109"/>
      <c r="BA450" s="109"/>
      <c r="BB450" s="109"/>
      <c r="BC450" s="109"/>
    </row>
    <row r="451" spans="1:55" x14ac:dyDescent="0.2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  <c r="AT451" s="109"/>
      <c r="AU451" s="109"/>
      <c r="AV451" s="109"/>
      <c r="AW451" s="109"/>
      <c r="AX451" s="109"/>
      <c r="AY451" s="109"/>
      <c r="AZ451" s="109"/>
      <c r="BA451" s="109"/>
      <c r="BB451" s="109"/>
      <c r="BC451" s="109"/>
    </row>
    <row r="452" spans="1:55" x14ac:dyDescent="0.2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  <c r="BA452" s="109"/>
      <c r="BB452" s="109"/>
      <c r="BC452" s="109"/>
    </row>
    <row r="453" spans="1:55" x14ac:dyDescent="0.2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  <c r="AT453" s="109"/>
      <c r="AU453" s="109"/>
      <c r="AV453" s="109"/>
      <c r="AW453" s="109"/>
      <c r="AX453" s="109"/>
      <c r="AY453" s="109"/>
      <c r="AZ453" s="109"/>
      <c r="BA453" s="109"/>
      <c r="BB453" s="109"/>
      <c r="BC453" s="109"/>
    </row>
    <row r="454" spans="1:55" x14ac:dyDescent="0.2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  <c r="AV454" s="109"/>
      <c r="AW454" s="109"/>
      <c r="AX454" s="109"/>
      <c r="AY454" s="109"/>
      <c r="AZ454" s="109"/>
      <c r="BA454" s="109"/>
      <c r="BB454" s="109"/>
      <c r="BC454" s="109"/>
    </row>
    <row r="455" spans="1:55" x14ac:dyDescent="0.2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  <c r="AT455" s="109"/>
      <c r="AU455" s="109"/>
      <c r="AV455" s="109"/>
      <c r="AW455" s="109"/>
      <c r="AX455" s="109"/>
      <c r="AY455" s="109"/>
      <c r="AZ455" s="109"/>
      <c r="BA455" s="109"/>
      <c r="BB455" s="109"/>
      <c r="BC455" s="109"/>
    </row>
    <row r="456" spans="1:55" x14ac:dyDescent="0.2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  <c r="AT456" s="109"/>
      <c r="AU456" s="109"/>
      <c r="AV456" s="109"/>
      <c r="AW456" s="109"/>
      <c r="AX456" s="109"/>
      <c r="AY456" s="109"/>
      <c r="AZ456" s="109"/>
      <c r="BA456" s="109"/>
      <c r="BB456" s="109"/>
      <c r="BC456" s="109"/>
    </row>
    <row r="457" spans="1:55" x14ac:dyDescent="0.2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  <c r="AV457" s="109"/>
      <c r="AW457" s="109"/>
      <c r="AX457" s="109"/>
      <c r="AY457" s="109"/>
      <c r="AZ457" s="109"/>
      <c r="BA457" s="109"/>
      <c r="BB457" s="109"/>
      <c r="BC457" s="109"/>
    </row>
    <row r="458" spans="1:55" x14ac:dyDescent="0.2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  <c r="AV458" s="109"/>
      <c r="AW458" s="109"/>
      <c r="AX458" s="109"/>
      <c r="AY458" s="109"/>
      <c r="AZ458" s="109"/>
      <c r="BA458" s="109"/>
      <c r="BB458" s="109"/>
      <c r="BC458" s="109"/>
    </row>
    <row r="459" spans="1:55" x14ac:dyDescent="0.2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  <c r="AV459" s="109"/>
      <c r="AW459" s="109"/>
      <c r="AX459" s="109"/>
      <c r="AY459" s="109"/>
      <c r="AZ459" s="109"/>
      <c r="BA459" s="109"/>
      <c r="BB459" s="109"/>
      <c r="BC459" s="109"/>
    </row>
    <row r="460" spans="1:55" x14ac:dyDescent="0.2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  <c r="AT460" s="109"/>
      <c r="AU460" s="109"/>
      <c r="AV460" s="109"/>
      <c r="AW460" s="109"/>
      <c r="AX460" s="109"/>
      <c r="AY460" s="109"/>
      <c r="AZ460" s="109"/>
      <c r="BA460" s="109"/>
      <c r="BB460" s="109"/>
      <c r="BC460" s="109"/>
    </row>
    <row r="461" spans="1:55" x14ac:dyDescent="0.2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  <c r="AT461" s="109"/>
      <c r="AU461" s="109"/>
      <c r="AV461" s="109"/>
      <c r="AW461" s="109"/>
      <c r="AX461" s="109"/>
      <c r="AY461" s="109"/>
      <c r="AZ461" s="109"/>
      <c r="BA461" s="109"/>
      <c r="BB461" s="109"/>
      <c r="BC461" s="109"/>
    </row>
    <row r="462" spans="1:55" x14ac:dyDescent="0.2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  <c r="AT462" s="109"/>
      <c r="AU462" s="109"/>
      <c r="AV462" s="109"/>
      <c r="AW462" s="109"/>
      <c r="AX462" s="109"/>
      <c r="AY462" s="109"/>
      <c r="AZ462" s="109"/>
      <c r="BA462" s="109"/>
      <c r="BB462" s="109"/>
      <c r="BC462" s="109"/>
    </row>
    <row r="463" spans="1:55" x14ac:dyDescent="0.2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  <c r="AT463" s="109"/>
      <c r="AU463" s="109"/>
      <c r="AV463" s="109"/>
      <c r="AW463" s="109"/>
      <c r="AX463" s="109"/>
      <c r="AY463" s="109"/>
      <c r="AZ463" s="109"/>
      <c r="BA463" s="109"/>
      <c r="BB463" s="109"/>
      <c r="BC463" s="109"/>
    </row>
    <row r="464" spans="1:55" x14ac:dyDescent="0.2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  <c r="AT464" s="109"/>
      <c r="AU464" s="109"/>
      <c r="AV464" s="109"/>
      <c r="AW464" s="109"/>
      <c r="AX464" s="109"/>
      <c r="AY464" s="109"/>
      <c r="AZ464" s="109"/>
      <c r="BA464" s="109"/>
      <c r="BB464" s="109"/>
      <c r="BC464" s="109"/>
    </row>
    <row r="465" spans="1:55" x14ac:dyDescent="0.2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  <c r="AT465" s="109"/>
      <c r="AU465" s="109"/>
      <c r="AV465" s="109"/>
      <c r="AW465" s="109"/>
      <c r="AX465" s="109"/>
      <c r="AY465" s="109"/>
      <c r="AZ465" s="109"/>
      <c r="BA465" s="109"/>
      <c r="BB465" s="109"/>
      <c r="BC465" s="109"/>
    </row>
    <row r="466" spans="1:55" x14ac:dyDescent="0.2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  <c r="AT466" s="109"/>
      <c r="AU466" s="109"/>
      <c r="AV466" s="109"/>
      <c r="AW466" s="109"/>
      <c r="AX466" s="109"/>
      <c r="AY466" s="109"/>
      <c r="AZ466" s="109"/>
      <c r="BA466" s="109"/>
      <c r="BB466" s="109"/>
      <c r="BC466" s="109"/>
    </row>
    <row r="467" spans="1:55" x14ac:dyDescent="0.2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  <c r="AT467" s="109"/>
      <c r="AU467" s="109"/>
      <c r="AV467" s="109"/>
      <c r="AW467" s="109"/>
      <c r="AX467" s="109"/>
      <c r="AY467" s="109"/>
      <c r="AZ467" s="109"/>
      <c r="BA467" s="109"/>
      <c r="BB467" s="109"/>
      <c r="BC467" s="109"/>
    </row>
    <row r="468" spans="1:55" x14ac:dyDescent="0.2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  <c r="AV468" s="109"/>
      <c r="AW468" s="109"/>
      <c r="AX468" s="109"/>
      <c r="AY468" s="109"/>
      <c r="AZ468" s="109"/>
      <c r="BA468" s="109"/>
      <c r="BB468" s="109"/>
      <c r="BC468" s="109"/>
    </row>
    <row r="469" spans="1:55" x14ac:dyDescent="0.2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  <c r="AT469" s="109"/>
      <c r="AU469" s="109"/>
      <c r="AV469" s="109"/>
      <c r="AW469" s="109"/>
      <c r="AX469" s="109"/>
      <c r="AY469" s="109"/>
      <c r="AZ469" s="109"/>
      <c r="BA469" s="109"/>
      <c r="BB469" s="109"/>
      <c r="BC469" s="109"/>
    </row>
    <row r="470" spans="1:55" x14ac:dyDescent="0.2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  <c r="AT470" s="109"/>
      <c r="AU470" s="109"/>
      <c r="AV470" s="109"/>
      <c r="AW470" s="109"/>
      <c r="AX470" s="109"/>
      <c r="AY470" s="109"/>
      <c r="AZ470" s="109"/>
      <c r="BA470" s="109"/>
      <c r="BB470" s="109"/>
      <c r="BC470" s="109"/>
    </row>
    <row r="471" spans="1:55" x14ac:dyDescent="0.2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  <c r="AT471" s="109"/>
      <c r="AU471" s="109"/>
      <c r="AV471" s="109"/>
      <c r="AW471" s="109"/>
      <c r="AX471" s="109"/>
      <c r="AY471" s="109"/>
      <c r="AZ471" s="109"/>
      <c r="BA471" s="109"/>
      <c r="BB471" s="109"/>
      <c r="BC471" s="109"/>
    </row>
    <row r="472" spans="1:55" x14ac:dyDescent="0.2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  <c r="AT472" s="109"/>
      <c r="AU472" s="109"/>
      <c r="AV472" s="109"/>
      <c r="AW472" s="109"/>
      <c r="AX472" s="109"/>
      <c r="AY472" s="109"/>
      <c r="AZ472" s="109"/>
      <c r="BA472" s="109"/>
      <c r="BB472" s="109"/>
      <c r="BC472" s="109"/>
    </row>
    <row r="473" spans="1:55" x14ac:dyDescent="0.2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  <c r="AS473" s="109"/>
      <c r="AT473" s="109"/>
      <c r="AU473" s="109"/>
      <c r="AV473" s="109"/>
      <c r="AW473" s="109"/>
      <c r="AX473" s="109"/>
      <c r="AY473" s="109"/>
      <c r="AZ473" s="109"/>
      <c r="BA473" s="109"/>
      <c r="BB473" s="109"/>
      <c r="BC473" s="109"/>
    </row>
    <row r="474" spans="1:55" x14ac:dyDescent="0.2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  <c r="AT474" s="109"/>
      <c r="AU474" s="109"/>
      <c r="AV474" s="109"/>
      <c r="AW474" s="109"/>
      <c r="AX474" s="109"/>
      <c r="AY474" s="109"/>
      <c r="AZ474" s="109"/>
      <c r="BA474" s="109"/>
      <c r="BB474" s="109"/>
      <c r="BC474" s="109"/>
    </row>
    <row r="475" spans="1:55" x14ac:dyDescent="0.2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  <c r="AS475" s="109"/>
      <c r="AT475" s="109"/>
      <c r="AU475" s="109"/>
      <c r="AV475" s="109"/>
      <c r="AW475" s="109"/>
      <c r="AX475" s="109"/>
      <c r="AY475" s="109"/>
      <c r="AZ475" s="109"/>
      <c r="BA475" s="109"/>
      <c r="BB475" s="109"/>
      <c r="BC475" s="109"/>
    </row>
    <row r="476" spans="1:55" x14ac:dyDescent="0.2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  <c r="AS476" s="109"/>
      <c r="AT476" s="109"/>
      <c r="AU476" s="109"/>
      <c r="AV476" s="109"/>
      <c r="AW476" s="109"/>
      <c r="AX476" s="109"/>
      <c r="AY476" s="109"/>
      <c r="AZ476" s="109"/>
      <c r="BA476" s="109"/>
      <c r="BB476" s="109"/>
      <c r="BC476" s="109"/>
    </row>
    <row r="477" spans="1:55" x14ac:dyDescent="0.2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  <c r="AS477" s="109"/>
      <c r="AT477" s="109"/>
      <c r="AU477" s="109"/>
      <c r="AV477" s="109"/>
      <c r="AW477" s="109"/>
      <c r="AX477" s="109"/>
      <c r="AY477" s="109"/>
      <c r="AZ477" s="109"/>
      <c r="BA477" s="109"/>
      <c r="BB477" s="109"/>
      <c r="BC477" s="109"/>
    </row>
    <row r="478" spans="1:55" x14ac:dyDescent="0.2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  <c r="AS478" s="109"/>
      <c r="AT478" s="109"/>
      <c r="AU478" s="109"/>
      <c r="AV478" s="109"/>
      <c r="AW478" s="109"/>
      <c r="AX478" s="109"/>
      <c r="AY478" s="109"/>
      <c r="AZ478" s="109"/>
      <c r="BA478" s="109"/>
      <c r="BB478" s="109"/>
      <c r="BC478" s="109"/>
    </row>
    <row r="479" spans="1:55" x14ac:dyDescent="0.2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  <c r="AS479" s="109"/>
      <c r="AT479" s="109"/>
      <c r="AU479" s="109"/>
      <c r="AV479" s="109"/>
      <c r="AW479" s="109"/>
      <c r="AX479" s="109"/>
      <c r="AY479" s="109"/>
      <c r="AZ479" s="109"/>
      <c r="BA479" s="109"/>
      <c r="BB479" s="109"/>
      <c r="BC479" s="109"/>
    </row>
    <row r="480" spans="1:55" x14ac:dyDescent="0.2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  <c r="AS480" s="109"/>
      <c r="AT480" s="109"/>
      <c r="AU480" s="109"/>
      <c r="AV480" s="109"/>
      <c r="AW480" s="109"/>
      <c r="AX480" s="109"/>
      <c r="AY480" s="109"/>
      <c r="AZ480" s="109"/>
      <c r="BA480" s="109"/>
      <c r="BB480" s="109"/>
      <c r="BC480" s="109"/>
    </row>
    <row r="481" spans="1:55" x14ac:dyDescent="0.2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  <c r="AS481" s="109"/>
      <c r="AT481" s="109"/>
      <c r="AU481" s="109"/>
      <c r="AV481" s="109"/>
      <c r="AW481" s="109"/>
      <c r="AX481" s="109"/>
      <c r="AY481" s="109"/>
      <c r="AZ481" s="109"/>
      <c r="BA481" s="109"/>
      <c r="BB481" s="109"/>
      <c r="BC481" s="109"/>
    </row>
    <row r="482" spans="1:55" x14ac:dyDescent="0.2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09"/>
      <c r="AT482" s="109"/>
      <c r="AU482" s="109"/>
      <c r="AV482" s="109"/>
      <c r="AW482" s="109"/>
      <c r="AX482" s="109"/>
      <c r="AY482" s="109"/>
      <c r="AZ482" s="109"/>
      <c r="BA482" s="109"/>
      <c r="BB482" s="109"/>
      <c r="BC482" s="109"/>
    </row>
    <row r="483" spans="1:55" x14ac:dyDescent="0.2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09"/>
      <c r="AT483" s="109"/>
      <c r="AU483" s="109"/>
      <c r="AV483" s="109"/>
      <c r="AW483" s="109"/>
      <c r="AX483" s="109"/>
      <c r="AY483" s="109"/>
      <c r="AZ483" s="109"/>
      <c r="BA483" s="109"/>
      <c r="BB483" s="109"/>
      <c r="BC483" s="109"/>
    </row>
    <row r="484" spans="1:55" x14ac:dyDescent="0.2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09"/>
      <c r="AT484" s="109"/>
      <c r="AU484" s="109"/>
      <c r="AV484" s="109"/>
      <c r="AW484" s="109"/>
      <c r="AX484" s="109"/>
      <c r="AY484" s="109"/>
      <c r="AZ484" s="109"/>
      <c r="BA484" s="109"/>
      <c r="BB484" s="109"/>
      <c r="BC484" s="109"/>
    </row>
    <row r="485" spans="1:55" x14ac:dyDescent="0.2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09"/>
      <c r="AT485" s="109"/>
      <c r="AU485" s="109"/>
      <c r="AV485" s="109"/>
      <c r="AW485" s="109"/>
      <c r="AX485" s="109"/>
      <c r="AY485" s="109"/>
      <c r="AZ485" s="109"/>
      <c r="BA485" s="109"/>
      <c r="BB485" s="109"/>
      <c r="BC485" s="109"/>
    </row>
    <row r="486" spans="1:55" x14ac:dyDescent="0.2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09"/>
      <c r="AT486" s="109"/>
      <c r="AU486" s="109"/>
      <c r="AV486" s="109"/>
      <c r="AW486" s="109"/>
      <c r="AX486" s="109"/>
      <c r="AY486" s="109"/>
      <c r="AZ486" s="109"/>
      <c r="BA486" s="109"/>
      <c r="BB486" s="109"/>
      <c r="BC486" s="109"/>
    </row>
    <row r="487" spans="1:55" x14ac:dyDescent="0.2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  <c r="AS487" s="109"/>
      <c r="AT487" s="109"/>
      <c r="AU487" s="109"/>
      <c r="AV487" s="109"/>
      <c r="AW487" s="109"/>
      <c r="AX487" s="109"/>
      <c r="AY487" s="109"/>
      <c r="AZ487" s="109"/>
      <c r="BA487" s="109"/>
      <c r="BB487" s="109"/>
      <c r="BC487" s="109"/>
    </row>
    <row r="488" spans="1:55" x14ac:dyDescent="0.2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  <c r="AS488" s="109"/>
      <c r="AT488" s="109"/>
      <c r="AU488" s="109"/>
      <c r="AV488" s="109"/>
      <c r="AW488" s="109"/>
      <c r="AX488" s="109"/>
      <c r="AY488" s="109"/>
      <c r="AZ488" s="109"/>
      <c r="BA488" s="109"/>
      <c r="BB488" s="109"/>
      <c r="BC488" s="109"/>
    </row>
    <row r="489" spans="1:55" x14ac:dyDescent="0.2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  <c r="AS489" s="109"/>
      <c r="AT489" s="109"/>
      <c r="AU489" s="109"/>
      <c r="AV489" s="109"/>
      <c r="AW489" s="109"/>
      <c r="AX489" s="109"/>
      <c r="AY489" s="109"/>
      <c r="AZ489" s="109"/>
      <c r="BA489" s="109"/>
      <c r="BB489" s="109"/>
      <c r="BC489" s="109"/>
    </row>
    <row r="490" spans="1:55" x14ac:dyDescent="0.2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  <c r="AS490" s="109"/>
      <c r="AT490" s="109"/>
      <c r="AU490" s="109"/>
      <c r="AV490" s="109"/>
      <c r="AW490" s="109"/>
      <c r="AX490" s="109"/>
      <c r="AY490" s="109"/>
      <c r="AZ490" s="109"/>
      <c r="BA490" s="109"/>
      <c r="BB490" s="109"/>
      <c r="BC490" s="109"/>
    </row>
    <row r="491" spans="1:55" x14ac:dyDescent="0.2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  <c r="AS491" s="109"/>
      <c r="AT491" s="109"/>
      <c r="AU491" s="109"/>
      <c r="AV491" s="109"/>
      <c r="AW491" s="109"/>
      <c r="AX491" s="109"/>
      <c r="AY491" s="109"/>
      <c r="AZ491" s="109"/>
      <c r="BA491" s="109"/>
      <c r="BB491" s="109"/>
      <c r="BC491" s="109"/>
    </row>
    <row r="492" spans="1:55" x14ac:dyDescent="0.2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  <c r="AS492" s="109"/>
      <c r="AT492" s="109"/>
      <c r="AU492" s="109"/>
      <c r="AV492" s="109"/>
      <c r="AW492" s="109"/>
      <c r="AX492" s="109"/>
      <c r="AY492" s="109"/>
      <c r="AZ492" s="109"/>
      <c r="BA492" s="109"/>
      <c r="BB492" s="109"/>
      <c r="BC492" s="109"/>
    </row>
    <row r="493" spans="1:55" x14ac:dyDescent="0.2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  <c r="AS493" s="109"/>
      <c r="AT493" s="109"/>
      <c r="AU493" s="109"/>
      <c r="AV493" s="109"/>
      <c r="AW493" s="109"/>
      <c r="AX493" s="109"/>
      <c r="AY493" s="109"/>
      <c r="AZ493" s="109"/>
      <c r="BA493" s="109"/>
      <c r="BB493" s="109"/>
      <c r="BC493" s="109"/>
    </row>
    <row r="494" spans="1:55" x14ac:dyDescent="0.2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  <c r="AS494" s="109"/>
      <c r="AT494" s="109"/>
      <c r="AU494" s="109"/>
      <c r="AV494" s="109"/>
      <c r="AW494" s="109"/>
      <c r="AX494" s="109"/>
      <c r="AY494" s="109"/>
      <c r="AZ494" s="109"/>
      <c r="BA494" s="109"/>
      <c r="BB494" s="109"/>
      <c r="BC494" s="109"/>
    </row>
    <row r="495" spans="1:55" x14ac:dyDescent="0.2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  <c r="AS495" s="109"/>
      <c r="AT495" s="109"/>
      <c r="AU495" s="109"/>
      <c r="AV495" s="109"/>
      <c r="AW495" s="109"/>
      <c r="AX495" s="109"/>
      <c r="AY495" s="109"/>
      <c r="AZ495" s="109"/>
      <c r="BA495" s="109"/>
      <c r="BB495" s="109"/>
      <c r="BC495" s="109"/>
    </row>
    <row r="496" spans="1:55" x14ac:dyDescent="0.2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09"/>
      <c r="AT496" s="109"/>
      <c r="AU496" s="109"/>
      <c r="AV496" s="109"/>
      <c r="AW496" s="109"/>
      <c r="AX496" s="109"/>
      <c r="AY496" s="109"/>
      <c r="AZ496" s="109"/>
      <c r="BA496" s="109"/>
      <c r="BB496" s="109"/>
      <c r="BC496" s="109"/>
    </row>
    <row r="497" spans="1:55" x14ac:dyDescent="0.2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09"/>
      <c r="AT497" s="109"/>
      <c r="AU497" s="109"/>
      <c r="AV497" s="109"/>
      <c r="AW497" s="109"/>
      <c r="AX497" s="109"/>
      <c r="AY497" s="109"/>
      <c r="AZ497" s="109"/>
      <c r="BA497" s="109"/>
      <c r="BB497" s="109"/>
      <c r="BC497" s="109"/>
    </row>
    <row r="498" spans="1:55" x14ac:dyDescent="0.2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09"/>
      <c r="AT498" s="109"/>
      <c r="AU498" s="109"/>
      <c r="AV498" s="109"/>
      <c r="AW498" s="109"/>
      <c r="AX498" s="109"/>
      <c r="AY498" s="109"/>
      <c r="AZ498" s="109"/>
      <c r="BA498" s="109"/>
      <c r="BB498" s="109"/>
      <c r="BC498" s="109"/>
    </row>
    <row r="499" spans="1:55" x14ac:dyDescent="0.2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09"/>
      <c r="AT499" s="109"/>
      <c r="AU499" s="109"/>
      <c r="AV499" s="109"/>
      <c r="AW499" s="109"/>
      <c r="AX499" s="109"/>
      <c r="AY499" s="109"/>
      <c r="AZ499" s="109"/>
      <c r="BA499" s="109"/>
      <c r="BB499" s="109"/>
      <c r="BC499" s="109"/>
    </row>
    <row r="500" spans="1:55" x14ac:dyDescent="0.2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09"/>
      <c r="AT500" s="109"/>
      <c r="AU500" s="109"/>
      <c r="AV500" s="109"/>
      <c r="AW500" s="109"/>
      <c r="AX500" s="109"/>
      <c r="AY500" s="109"/>
      <c r="AZ500" s="109"/>
      <c r="BA500" s="109"/>
      <c r="BB500" s="109"/>
      <c r="BC500" s="109"/>
    </row>
    <row r="501" spans="1:55" x14ac:dyDescent="0.2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  <c r="AS501" s="109"/>
      <c r="AT501" s="109"/>
      <c r="AU501" s="109"/>
      <c r="AV501" s="109"/>
      <c r="AW501" s="109"/>
      <c r="AX501" s="109"/>
      <c r="AY501" s="109"/>
      <c r="AZ501" s="109"/>
      <c r="BA501" s="109"/>
      <c r="BB501" s="109"/>
      <c r="BC501" s="109"/>
    </row>
    <row r="502" spans="1:55" x14ac:dyDescent="0.2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  <c r="AS502" s="109"/>
      <c r="AT502" s="109"/>
      <c r="AU502" s="109"/>
      <c r="AV502" s="109"/>
      <c r="AW502" s="109"/>
      <c r="AX502" s="109"/>
      <c r="AY502" s="109"/>
      <c r="AZ502" s="109"/>
      <c r="BA502" s="109"/>
      <c r="BB502" s="109"/>
      <c r="BC502" s="109"/>
    </row>
    <row r="503" spans="1:55" x14ac:dyDescent="0.2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  <c r="AS503" s="109"/>
      <c r="AT503" s="109"/>
      <c r="AU503" s="109"/>
      <c r="AV503" s="109"/>
      <c r="AW503" s="109"/>
      <c r="AX503" s="109"/>
      <c r="AY503" s="109"/>
      <c r="AZ503" s="109"/>
      <c r="BA503" s="109"/>
      <c r="BB503" s="109"/>
      <c r="BC503" s="109"/>
    </row>
    <row r="504" spans="1:55" x14ac:dyDescent="0.2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  <c r="AS504" s="109"/>
      <c r="AT504" s="109"/>
      <c r="AU504" s="109"/>
      <c r="AV504" s="109"/>
      <c r="AW504" s="109"/>
      <c r="AX504" s="109"/>
      <c r="AY504" s="109"/>
      <c r="AZ504" s="109"/>
      <c r="BA504" s="109"/>
      <c r="BB504" s="109"/>
      <c r="BC504" s="109"/>
    </row>
    <row r="505" spans="1:55" x14ac:dyDescent="0.2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  <c r="AS505" s="109"/>
      <c r="AT505" s="109"/>
      <c r="AU505" s="109"/>
      <c r="AV505" s="109"/>
      <c r="AW505" s="109"/>
      <c r="AX505" s="109"/>
      <c r="AY505" s="109"/>
      <c r="AZ505" s="109"/>
      <c r="BA505" s="109"/>
      <c r="BB505" s="109"/>
      <c r="BC505" s="109"/>
    </row>
    <row r="506" spans="1:55" x14ac:dyDescent="0.2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  <c r="AS506" s="109"/>
      <c r="AT506" s="109"/>
      <c r="AU506" s="109"/>
      <c r="AV506" s="109"/>
      <c r="AW506" s="109"/>
      <c r="AX506" s="109"/>
      <c r="AY506" s="109"/>
      <c r="AZ506" s="109"/>
      <c r="BA506" s="109"/>
      <c r="BB506" s="109"/>
      <c r="BC506" s="109"/>
    </row>
    <row r="507" spans="1:55" x14ac:dyDescent="0.2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  <c r="AS507" s="109"/>
      <c r="AT507" s="109"/>
      <c r="AU507" s="109"/>
      <c r="AV507" s="109"/>
      <c r="AW507" s="109"/>
      <c r="AX507" s="109"/>
      <c r="AY507" s="109"/>
      <c r="AZ507" s="109"/>
      <c r="BA507" s="109"/>
      <c r="BB507" s="109"/>
      <c r="BC507" s="109"/>
    </row>
    <row r="508" spans="1:55" x14ac:dyDescent="0.2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9"/>
      <c r="AS508" s="109"/>
      <c r="AT508" s="109"/>
      <c r="AU508" s="109"/>
      <c r="AV508" s="109"/>
      <c r="AW508" s="109"/>
      <c r="AX508" s="109"/>
      <c r="AY508" s="109"/>
      <c r="AZ508" s="109"/>
      <c r="BA508" s="109"/>
      <c r="BB508" s="109"/>
      <c r="BC508" s="109"/>
    </row>
    <row r="509" spans="1:55" x14ac:dyDescent="0.2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  <c r="AS509" s="109"/>
      <c r="AT509" s="109"/>
      <c r="AU509" s="109"/>
      <c r="AV509" s="109"/>
      <c r="AW509" s="109"/>
      <c r="AX509" s="109"/>
      <c r="AY509" s="109"/>
      <c r="AZ509" s="109"/>
      <c r="BA509" s="109"/>
      <c r="BB509" s="109"/>
      <c r="BC509" s="109"/>
    </row>
    <row r="510" spans="1:55" x14ac:dyDescent="0.2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  <c r="AS510" s="109"/>
      <c r="AT510" s="109"/>
      <c r="AU510" s="109"/>
      <c r="AV510" s="109"/>
      <c r="AW510" s="109"/>
      <c r="AX510" s="109"/>
      <c r="AY510" s="109"/>
      <c r="AZ510" s="109"/>
      <c r="BA510" s="109"/>
      <c r="BB510" s="109"/>
      <c r="BC510" s="109"/>
    </row>
    <row r="511" spans="1:55" x14ac:dyDescent="0.2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  <c r="AS511" s="109"/>
      <c r="AT511" s="109"/>
      <c r="AU511" s="109"/>
      <c r="AV511" s="109"/>
      <c r="AW511" s="109"/>
      <c r="AX511" s="109"/>
      <c r="AY511" s="109"/>
      <c r="AZ511" s="109"/>
      <c r="BA511" s="109"/>
      <c r="BB511" s="109"/>
      <c r="BC511" s="109"/>
    </row>
    <row r="512" spans="1:55" x14ac:dyDescent="0.2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  <c r="AS512" s="109"/>
      <c r="AT512" s="109"/>
      <c r="AU512" s="109"/>
      <c r="AV512" s="109"/>
      <c r="AW512" s="109"/>
      <c r="AX512" s="109"/>
      <c r="AY512" s="109"/>
      <c r="AZ512" s="109"/>
      <c r="BA512" s="109"/>
      <c r="BB512" s="109"/>
      <c r="BC512" s="109"/>
    </row>
    <row r="513" spans="1:55" x14ac:dyDescent="0.2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  <c r="AS513" s="109"/>
      <c r="AT513" s="109"/>
      <c r="AU513" s="109"/>
      <c r="AV513" s="109"/>
      <c r="AW513" s="109"/>
      <c r="AX513" s="109"/>
      <c r="AY513" s="109"/>
      <c r="AZ513" s="109"/>
      <c r="BA513" s="109"/>
      <c r="BB513" s="109"/>
      <c r="BC513" s="109"/>
    </row>
    <row r="514" spans="1:55" x14ac:dyDescent="0.2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9"/>
      <c r="AS514" s="109"/>
      <c r="AT514" s="109"/>
      <c r="AU514" s="109"/>
      <c r="AV514" s="109"/>
      <c r="AW514" s="109"/>
      <c r="AX514" s="109"/>
      <c r="AY514" s="109"/>
      <c r="AZ514" s="109"/>
      <c r="BA514" s="109"/>
      <c r="BB514" s="109"/>
      <c r="BC514" s="109"/>
    </row>
    <row r="515" spans="1:55" x14ac:dyDescent="0.2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  <c r="AS515" s="109"/>
      <c r="AT515" s="109"/>
      <c r="AU515" s="109"/>
      <c r="AV515" s="109"/>
      <c r="AW515" s="109"/>
      <c r="AX515" s="109"/>
      <c r="AY515" s="109"/>
      <c r="AZ515" s="109"/>
      <c r="BA515" s="109"/>
      <c r="BB515" s="109"/>
      <c r="BC515" s="109"/>
    </row>
    <row r="516" spans="1:55" x14ac:dyDescent="0.2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  <c r="AS516" s="109"/>
      <c r="AT516" s="109"/>
      <c r="AU516" s="109"/>
      <c r="AV516" s="109"/>
      <c r="AW516" s="109"/>
      <c r="AX516" s="109"/>
      <c r="AY516" s="109"/>
      <c r="AZ516" s="109"/>
      <c r="BA516" s="109"/>
      <c r="BB516" s="109"/>
      <c r="BC516" s="109"/>
    </row>
    <row r="517" spans="1:55" x14ac:dyDescent="0.2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  <c r="AS517" s="109"/>
      <c r="AT517" s="109"/>
      <c r="AU517" s="109"/>
      <c r="AV517" s="109"/>
      <c r="AW517" s="109"/>
      <c r="AX517" s="109"/>
      <c r="AY517" s="109"/>
      <c r="AZ517" s="109"/>
      <c r="BA517" s="109"/>
      <c r="BB517" s="109"/>
      <c r="BC517" s="109"/>
    </row>
    <row r="518" spans="1:55" x14ac:dyDescent="0.2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  <c r="AS518" s="109"/>
      <c r="AT518" s="109"/>
      <c r="AU518" s="109"/>
      <c r="AV518" s="109"/>
      <c r="AW518" s="109"/>
      <c r="AX518" s="109"/>
      <c r="AY518" s="109"/>
      <c r="AZ518" s="109"/>
      <c r="BA518" s="109"/>
      <c r="BB518" s="109"/>
      <c r="BC518" s="109"/>
    </row>
    <row r="519" spans="1:55" x14ac:dyDescent="0.2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  <c r="AS519" s="109"/>
      <c r="AT519" s="109"/>
      <c r="AU519" s="109"/>
      <c r="AV519" s="109"/>
      <c r="AW519" s="109"/>
      <c r="AX519" s="109"/>
      <c r="AY519" s="109"/>
      <c r="AZ519" s="109"/>
      <c r="BA519" s="109"/>
      <c r="BB519" s="109"/>
      <c r="BC519" s="109"/>
    </row>
    <row r="520" spans="1:55" x14ac:dyDescent="0.2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  <c r="AS520" s="109"/>
      <c r="AT520" s="109"/>
      <c r="AU520" s="109"/>
      <c r="AV520" s="109"/>
      <c r="AW520" s="109"/>
      <c r="AX520" s="109"/>
      <c r="AY520" s="109"/>
      <c r="AZ520" s="109"/>
      <c r="BA520" s="109"/>
      <c r="BB520" s="109"/>
      <c r="BC520" s="109"/>
    </row>
    <row r="521" spans="1:55" x14ac:dyDescent="0.2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  <c r="AS521" s="109"/>
      <c r="AT521" s="109"/>
      <c r="AU521" s="109"/>
      <c r="AV521" s="109"/>
      <c r="AW521" s="109"/>
      <c r="AX521" s="109"/>
      <c r="AY521" s="109"/>
      <c r="AZ521" s="109"/>
      <c r="BA521" s="109"/>
      <c r="BB521" s="109"/>
      <c r="BC521" s="109"/>
    </row>
    <row r="522" spans="1:55" x14ac:dyDescent="0.2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  <c r="AS522" s="109"/>
      <c r="AT522" s="109"/>
      <c r="AU522" s="109"/>
      <c r="AV522" s="109"/>
      <c r="AW522" s="109"/>
      <c r="AX522" s="109"/>
      <c r="AY522" s="109"/>
      <c r="AZ522" s="109"/>
      <c r="BA522" s="109"/>
      <c r="BB522" s="109"/>
      <c r="BC522" s="109"/>
    </row>
    <row r="523" spans="1:55" x14ac:dyDescent="0.2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  <c r="AS523" s="109"/>
      <c r="AT523" s="109"/>
      <c r="AU523" s="109"/>
      <c r="AV523" s="109"/>
      <c r="AW523" s="109"/>
      <c r="AX523" s="109"/>
      <c r="AY523" s="109"/>
      <c r="AZ523" s="109"/>
      <c r="BA523" s="109"/>
      <c r="BB523" s="109"/>
      <c r="BC523" s="109"/>
    </row>
    <row r="524" spans="1:55" x14ac:dyDescent="0.2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  <c r="AS524" s="109"/>
      <c r="AT524" s="109"/>
      <c r="AU524" s="109"/>
      <c r="AV524" s="109"/>
      <c r="AW524" s="109"/>
      <c r="AX524" s="109"/>
      <c r="AY524" s="109"/>
      <c r="AZ524" s="109"/>
      <c r="BA524" s="109"/>
      <c r="BB524" s="109"/>
      <c r="BC524" s="109"/>
    </row>
    <row r="525" spans="1:55" x14ac:dyDescent="0.2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  <c r="AS525" s="109"/>
      <c r="AT525" s="109"/>
      <c r="AU525" s="109"/>
      <c r="AV525" s="109"/>
      <c r="AW525" s="109"/>
      <c r="AX525" s="109"/>
      <c r="AY525" s="109"/>
      <c r="AZ525" s="109"/>
      <c r="BA525" s="109"/>
      <c r="BB525" s="109"/>
      <c r="BC525" s="109"/>
    </row>
    <row r="526" spans="1:55" x14ac:dyDescent="0.2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  <c r="AS526" s="109"/>
      <c r="AT526" s="109"/>
      <c r="AU526" s="109"/>
      <c r="AV526" s="109"/>
      <c r="AW526" s="109"/>
      <c r="AX526" s="109"/>
      <c r="AY526" s="109"/>
      <c r="AZ526" s="109"/>
      <c r="BA526" s="109"/>
      <c r="BB526" s="109"/>
      <c r="BC526" s="109"/>
    </row>
    <row r="527" spans="1:55" x14ac:dyDescent="0.2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  <c r="AT527" s="109"/>
      <c r="AU527" s="109"/>
      <c r="AV527" s="109"/>
      <c r="AW527" s="109"/>
      <c r="AX527" s="109"/>
      <c r="AY527" s="109"/>
      <c r="AZ527" s="109"/>
      <c r="BA527" s="109"/>
      <c r="BB527" s="109"/>
      <c r="BC527" s="109"/>
    </row>
    <row r="528" spans="1:55" x14ac:dyDescent="0.2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  <c r="AS528" s="109"/>
      <c r="AT528" s="109"/>
      <c r="AU528" s="109"/>
      <c r="AV528" s="109"/>
      <c r="AW528" s="109"/>
      <c r="AX528" s="109"/>
      <c r="AY528" s="109"/>
      <c r="AZ528" s="109"/>
      <c r="BA528" s="109"/>
      <c r="BB528" s="109"/>
      <c r="BC528" s="109"/>
    </row>
    <row r="529" spans="1:55" x14ac:dyDescent="0.2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  <c r="AS529" s="109"/>
      <c r="AT529" s="109"/>
      <c r="AU529" s="109"/>
      <c r="AV529" s="109"/>
      <c r="AW529" s="109"/>
      <c r="AX529" s="109"/>
      <c r="AY529" s="109"/>
      <c r="AZ529" s="109"/>
      <c r="BA529" s="109"/>
      <c r="BB529" s="109"/>
      <c r="BC529" s="109"/>
    </row>
    <row r="530" spans="1:55" x14ac:dyDescent="0.2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  <c r="AS530" s="109"/>
      <c r="AT530" s="109"/>
      <c r="AU530" s="109"/>
      <c r="AV530" s="109"/>
      <c r="AW530" s="109"/>
      <c r="AX530" s="109"/>
      <c r="AY530" s="109"/>
      <c r="AZ530" s="109"/>
      <c r="BA530" s="109"/>
      <c r="BB530" s="109"/>
      <c r="BC530" s="109"/>
    </row>
    <row r="531" spans="1:55" x14ac:dyDescent="0.2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  <c r="AS531" s="109"/>
      <c r="AT531" s="109"/>
      <c r="AU531" s="109"/>
      <c r="AV531" s="109"/>
      <c r="AW531" s="109"/>
      <c r="AX531" s="109"/>
      <c r="AY531" s="109"/>
      <c r="AZ531" s="109"/>
      <c r="BA531" s="109"/>
      <c r="BB531" s="109"/>
      <c r="BC531" s="109"/>
    </row>
    <row r="532" spans="1:55" x14ac:dyDescent="0.2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  <c r="AS532" s="109"/>
      <c r="AT532" s="109"/>
      <c r="AU532" s="109"/>
      <c r="AV532" s="109"/>
      <c r="AW532" s="109"/>
      <c r="AX532" s="109"/>
      <c r="AY532" s="109"/>
      <c r="AZ532" s="109"/>
      <c r="BA532" s="109"/>
      <c r="BB532" s="109"/>
      <c r="BC532" s="109"/>
    </row>
    <row r="533" spans="1:55" x14ac:dyDescent="0.2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  <c r="AS533" s="109"/>
      <c r="AT533" s="109"/>
      <c r="AU533" s="109"/>
      <c r="AV533" s="109"/>
      <c r="AW533" s="109"/>
      <c r="AX533" s="109"/>
      <c r="AY533" s="109"/>
      <c r="AZ533" s="109"/>
      <c r="BA533" s="109"/>
      <c r="BB533" s="109"/>
      <c r="BC533" s="109"/>
    </row>
    <row r="534" spans="1:55" x14ac:dyDescent="0.2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  <c r="AS534" s="109"/>
      <c r="AT534" s="109"/>
      <c r="AU534" s="109"/>
      <c r="AV534" s="109"/>
      <c r="AW534" s="109"/>
      <c r="AX534" s="109"/>
      <c r="AY534" s="109"/>
      <c r="AZ534" s="109"/>
      <c r="BA534" s="109"/>
      <c r="BB534" s="109"/>
      <c r="BC534" s="109"/>
    </row>
    <row r="535" spans="1:55" x14ac:dyDescent="0.2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  <c r="AS535" s="109"/>
      <c r="AT535" s="109"/>
      <c r="AU535" s="109"/>
      <c r="AV535" s="109"/>
      <c r="AW535" s="109"/>
      <c r="AX535" s="109"/>
      <c r="AY535" s="109"/>
      <c r="AZ535" s="109"/>
      <c r="BA535" s="109"/>
      <c r="BB535" s="109"/>
      <c r="BC535" s="109"/>
    </row>
    <row r="536" spans="1:55" x14ac:dyDescent="0.2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  <c r="AS536" s="109"/>
      <c r="AT536" s="109"/>
      <c r="AU536" s="109"/>
      <c r="AV536" s="109"/>
      <c r="AW536" s="109"/>
      <c r="AX536" s="109"/>
      <c r="AY536" s="109"/>
      <c r="AZ536" s="109"/>
      <c r="BA536" s="109"/>
      <c r="BB536" s="109"/>
      <c r="BC536" s="109"/>
    </row>
    <row r="537" spans="1:55" x14ac:dyDescent="0.2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  <c r="AT537" s="109"/>
      <c r="AU537" s="109"/>
      <c r="AV537" s="109"/>
      <c r="AW537" s="109"/>
      <c r="AX537" s="109"/>
      <c r="AY537" s="109"/>
      <c r="AZ537" s="109"/>
      <c r="BA537" s="109"/>
      <c r="BB537" s="109"/>
      <c r="BC537" s="109"/>
    </row>
    <row r="538" spans="1:55" x14ac:dyDescent="0.2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  <c r="AS538" s="109"/>
      <c r="AT538" s="109"/>
      <c r="AU538" s="109"/>
      <c r="AV538" s="109"/>
      <c r="AW538" s="109"/>
      <c r="AX538" s="109"/>
      <c r="AY538" s="109"/>
      <c r="AZ538" s="109"/>
      <c r="BA538" s="109"/>
      <c r="BB538" s="109"/>
      <c r="BC538" s="109"/>
    </row>
    <row r="539" spans="1:55" x14ac:dyDescent="0.2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  <c r="AT539" s="109"/>
      <c r="AU539" s="109"/>
      <c r="AV539" s="109"/>
      <c r="AW539" s="109"/>
      <c r="AX539" s="109"/>
      <c r="AY539" s="109"/>
      <c r="AZ539" s="109"/>
      <c r="BA539" s="109"/>
      <c r="BB539" s="109"/>
      <c r="BC539" s="109"/>
    </row>
    <row r="540" spans="1:55" x14ac:dyDescent="0.2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  <c r="AS540" s="109"/>
      <c r="AT540" s="109"/>
      <c r="AU540" s="109"/>
      <c r="AV540" s="109"/>
      <c r="AW540" s="109"/>
      <c r="AX540" s="109"/>
      <c r="AY540" s="109"/>
      <c r="AZ540" s="109"/>
      <c r="BA540" s="109"/>
      <c r="BB540" s="109"/>
      <c r="BC540" s="109"/>
    </row>
    <row r="541" spans="1:55" x14ac:dyDescent="0.2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  <c r="AS541" s="109"/>
      <c r="AT541" s="109"/>
      <c r="AU541" s="109"/>
      <c r="AV541" s="109"/>
      <c r="AW541" s="109"/>
      <c r="AX541" s="109"/>
      <c r="AY541" s="109"/>
      <c r="AZ541" s="109"/>
      <c r="BA541" s="109"/>
      <c r="BB541" s="109"/>
      <c r="BC541" s="109"/>
    </row>
    <row r="542" spans="1:55" x14ac:dyDescent="0.2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  <c r="AS542" s="109"/>
      <c r="AT542" s="109"/>
      <c r="AU542" s="109"/>
      <c r="AV542" s="109"/>
      <c r="AW542" s="109"/>
      <c r="AX542" s="109"/>
      <c r="AY542" s="109"/>
      <c r="AZ542" s="109"/>
      <c r="BA542" s="109"/>
      <c r="BB542" s="109"/>
      <c r="BC542" s="109"/>
    </row>
    <row r="543" spans="1:55" x14ac:dyDescent="0.2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  <c r="AT543" s="109"/>
      <c r="AU543" s="109"/>
      <c r="AV543" s="109"/>
      <c r="AW543" s="109"/>
      <c r="AX543" s="109"/>
      <c r="AY543" s="109"/>
      <c r="AZ543" s="109"/>
      <c r="BA543" s="109"/>
      <c r="BB543" s="109"/>
      <c r="BC543" s="109"/>
    </row>
    <row r="544" spans="1:55" x14ac:dyDescent="0.2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  <c r="AS544" s="109"/>
      <c r="AT544" s="109"/>
      <c r="AU544" s="109"/>
      <c r="AV544" s="109"/>
      <c r="AW544" s="109"/>
      <c r="AX544" s="109"/>
      <c r="AY544" s="109"/>
      <c r="AZ544" s="109"/>
      <c r="BA544" s="109"/>
      <c r="BB544" s="109"/>
      <c r="BC544" s="109"/>
    </row>
    <row r="545" spans="1:55" x14ac:dyDescent="0.2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  <c r="AS545" s="109"/>
      <c r="AT545" s="109"/>
      <c r="AU545" s="109"/>
      <c r="AV545" s="109"/>
      <c r="AW545" s="109"/>
      <c r="AX545" s="109"/>
      <c r="AY545" s="109"/>
      <c r="AZ545" s="109"/>
      <c r="BA545" s="109"/>
      <c r="BB545" s="109"/>
      <c r="BC545" s="109"/>
    </row>
    <row r="546" spans="1:55" x14ac:dyDescent="0.2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9"/>
      <c r="AS546" s="109"/>
      <c r="AT546" s="109"/>
      <c r="AU546" s="109"/>
      <c r="AV546" s="109"/>
      <c r="AW546" s="109"/>
      <c r="AX546" s="109"/>
      <c r="AY546" s="109"/>
      <c r="AZ546" s="109"/>
      <c r="BA546" s="109"/>
      <c r="BB546" s="109"/>
      <c r="BC546" s="109"/>
    </row>
    <row r="547" spans="1:55" x14ac:dyDescent="0.2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  <c r="AS547" s="109"/>
      <c r="AT547" s="109"/>
      <c r="AU547" s="109"/>
      <c r="AV547" s="109"/>
      <c r="AW547" s="109"/>
      <c r="AX547" s="109"/>
      <c r="AY547" s="109"/>
      <c r="AZ547" s="109"/>
      <c r="BA547" s="109"/>
      <c r="BB547" s="109"/>
      <c r="BC547" s="109"/>
    </row>
    <row r="548" spans="1:55" x14ac:dyDescent="0.2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  <c r="AS548" s="109"/>
      <c r="AT548" s="109"/>
      <c r="AU548" s="109"/>
      <c r="AV548" s="109"/>
      <c r="AW548" s="109"/>
      <c r="AX548" s="109"/>
      <c r="AY548" s="109"/>
      <c r="AZ548" s="109"/>
      <c r="BA548" s="109"/>
      <c r="BB548" s="109"/>
      <c r="BC548" s="109"/>
    </row>
    <row r="549" spans="1:55" x14ac:dyDescent="0.2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  <c r="AS549" s="109"/>
      <c r="AT549" s="109"/>
      <c r="AU549" s="109"/>
      <c r="AV549" s="109"/>
      <c r="AW549" s="109"/>
      <c r="AX549" s="109"/>
      <c r="AY549" s="109"/>
      <c r="AZ549" s="109"/>
      <c r="BA549" s="109"/>
      <c r="BB549" s="109"/>
      <c r="BC549" s="109"/>
    </row>
    <row r="550" spans="1:55" x14ac:dyDescent="0.2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  <c r="AS550" s="109"/>
      <c r="AT550" s="109"/>
      <c r="AU550" s="109"/>
      <c r="AV550" s="109"/>
      <c r="AW550" s="109"/>
      <c r="AX550" s="109"/>
      <c r="AY550" s="109"/>
      <c r="AZ550" s="109"/>
      <c r="BA550" s="109"/>
      <c r="BB550" s="109"/>
      <c r="BC550" s="109"/>
    </row>
    <row r="551" spans="1:55" x14ac:dyDescent="0.2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  <c r="AS551" s="109"/>
      <c r="AT551" s="109"/>
      <c r="AU551" s="109"/>
      <c r="AV551" s="109"/>
      <c r="AW551" s="109"/>
      <c r="AX551" s="109"/>
      <c r="AY551" s="109"/>
      <c r="AZ551" s="109"/>
      <c r="BA551" s="109"/>
      <c r="BB551" s="109"/>
      <c r="BC551" s="109"/>
    </row>
    <row r="552" spans="1:55" x14ac:dyDescent="0.2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9"/>
      <c r="AS552" s="109"/>
      <c r="AT552" s="109"/>
      <c r="AU552" s="109"/>
      <c r="AV552" s="109"/>
      <c r="AW552" s="109"/>
      <c r="AX552" s="109"/>
      <c r="AY552" s="109"/>
      <c r="AZ552" s="109"/>
      <c r="BA552" s="109"/>
      <c r="BB552" s="109"/>
      <c r="BC552" s="109"/>
    </row>
    <row r="553" spans="1:55" x14ac:dyDescent="0.2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  <c r="AS553" s="109"/>
      <c r="AT553" s="109"/>
      <c r="AU553" s="109"/>
      <c r="AV553" s="109"/>
      <c r="AW553" s="109"/>
      <c r="AX553" s="109"/>
      <c r="AY553" s="109"/>
      <c r="AZ553" s="109"/>
      <c r="BA553" s="109"/>
      <c r="BB553" s="109"/>
      <c r="BC553" s="109"/>
    </row>
    <row r="554" spans="1:55" x14ac:dyDescent="0.2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  <c r="AS554" s="109"/>
      <c r="AT554" s="109"/>
      <c r="AU554" s="109"/>
      <c r="AV554" s="109"/>
      <c r="AW554" s="109"/>
      <c r="AX554" s="109"/>
      <c r="AY554" s="109"/>
      <c r="AZ554" s="109"/>
      <c r="BA554" s="109"/>
      <c r="BB554" s="109"/>
      <c r="BC554" s="109"/>
    </row>
    <row r="555" spans="1:55" x14ac:dyDescent="0.2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  <c r="AS555" s="109"/>
      <c r="AT555" s="109"/>
      <c r="AU555" s="109"/>
      <c r="AV555" s="109"/>
      <c r="AW555" s="109"/>
      <c r="AX555" s="109"/>
      <c r="AY555" s="109"/>
      <c r="AZ555" s="109"/>
      <c r="BA555" s="109"/>
      <c r="BB555" s="109"/>
      <c r="BC555" s="109"/>
    </row>
    <row r="556" spans="1:55" x14ac:dyDescent="0.2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  <c r="AS556" s="109"/>
      <c r="AT556" s="109"/>
      <c r="AU556" s="109"/>
      <c r="AV556" s="109"/>
      <c r="AW556" s="109"/>
      <c r="AX556" s="109"/>
      <c r="AY556" s="109"/>
      <c r="AZ556" s="109"/>
      <c r="BA556" s="109"/>
      <c r="BB556" s="109"/>
      <c r="BC556" s="109"/>
    </row>
    <row r="557" spans="1:55" x14ac:dyDescent="0.2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  <c r="AS557" s="109"/>
      <c r="AT557" s="109"/>
      <c r="AU557" s="109"/>
      <c r="AV557" s="109"/>
      <c r="AW557" s="109"/>
      <c r="AX557" s="109"/>
      <c r="AY557" s="109"/>
      <c r="AZ557" s="109"/>
      <c r="BA557" s="109"/>
      <c r="BB557" s="109"/>
      <c r="BC557" s="109"/>
    </row>
    <row r="558" spans="1:55" x14ac:dyDescent="0.2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  <c r="AS558" s="109"/>
      <c r="AT558" s="109"/>
      <c r="AU558" s="109"/>
      <c r="AV558" s="109"/>
      <c r="AW558" s="109"/>
      <c r="AX558" s="109"/>
      <c r="AY558" s="109"/>
      <c r="AZ558" s="109"/>
      <c r="BA558" s="109"/>
      <c r="BB558" s="109"/>
      <c r="BC558" s="109"/>
    </row>
    <row r="559" spans="1:55" x14ac:dyDescent="0.2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  <c r="AS559" s="109"/>
      <c r="AT559" s="109"/>
      <c r="AU559" s="109"/>
      <c r="AV559" s="109"/>
      <c r="AW559" s="109"/>
      <c r="AX559" s="109"/>
      <c r="AY559" s="109"/>
      <c r="AZ559" s="109"/>
      <c r="BA559" s="109"/>
      <c r="BB559" s="109"/>
      <c r="BC559" s="109"/>
    </row>
    <row r="560" spans="1:55" x14ac:dyDescent="0.2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  <c r="AS560" s="109"/>
      <c r="AT560" s="109"/>
      <c r="AU560" s="109"/>
      <c r="AV560" s="109"/>
      <c r="AW560" s="109"/>
      <c r="AX560" s="109"/>
      <c r="AY560" s="109"/>
      <c r="AZ560" s="109"/>
      <c r="BA560" s="109"/>
      <c r="BB560" s="109"/>
      <c r="BC560" s="109"/>
    </row>
    <row r="561" spans="1:55" x14ac:dyDescent="0.2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  <c r="AT561" s="109"/>
      <c r="AU561" s="109"/>
      <c r="AV561" s="109"/>
      <c r="AW561" s="109"/>
      <c r="AX561" s="109"/>
      <c r="AY561" s="109"/>
      <c r="AZ561" s="109"/>
      <c r="BA561" s="109"/>
      <c r="BB561" s="109"/>
      <c r="BC561" s="109"/>
    </row>
    <row r="562" spans="1:55" x14ac:dyDescent="0.2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AY562" s="109"/>
      <c r="AZ562" s="109"/>
      <c r="BA562" s="109"/>
      <c r="BB562" s="109"/>
      <c r="BC562" s="109"/>
    </row>
    <row r="563" spans="1:55" x14ac:dyDescent="0.2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  <c r="AT563" s="109"/>
      <c r="AU563" s="109"/>
      <c r="AV563" s="109"/>
      <c r="AW563" s="109"/>
      <c r="AX563" s="109"/>
      <c r="AY563" s="109"/>
      <c r="AZ563" s="109"/>
      <c r="BA563" s="109"/>
      <c r="BB563" s="109"/>
      <c r="BC563" s="109"/>
    </row>
    <row r="564" spans="1:55" x14ac:dyDescent="0.2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  <c r="AT564" s="109"/>
      <c r="AU564" s="109"/>
      <c r="AV564" s="109"/>
      <c r="AW564" s="109"/>
      <c r="AX564" s="109"/>
      <c r="AY564" s="109"/>
      <c r="AZ564" s="109"/>
      <c r="BA564" s="109"/>
      <c r="BB564" s="109"/>
      <c r="BC564" s="109"/>
    </row>
    <row r="565" spans="1:55" x14ac:dyDescent="0.2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  <c r="AT565" s="109"/>
      <c r="AU565" s="109"/>
      <c r="AV565" s="109"/>
      <c r="AW565" s="109"/>
      <c r="AX565" s="109"/>
      <c r="AY565" s="109"/>
      <c r="AZ565" s="109"/>
      <c r="BA565" s="109"/>
      <c r="BB565" s="109"/>
      <c r="BC565" s="109"/>
    </row>
    <row r="566" spans="1:55" x14ac:dyDescent="0.2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  <c r="AT566" s="109"/>
      <c r="AU566" s="109"/>
      <c r="AV566" s="109"/>
      <c r="AW566" s="109"/>
      <c r="AX566" s="109"/>
      <c r="AY566" s="109"/>
      <c r="AZ566" s="109"/>
      <c r="BA566" s="109"/>
      <c r="BB566" s="109"/>
      <c r="BC566" s="109"/>
    </row>
    <row r="567" spans="1:55" x14ac:dyDescent="0.2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AY567" s="109"/>
      <c r="AZ567" s="109"/>
      <c r="BA567" s="109"/>
      <c r="BB567" s="109"/>
      <c r="BC567" s="109"/>
    </row>
    <row r="568" spans="1:55" x14ac:dyDescent="0.2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AY568" s="109"/>
      <c r="AZ568" s="109"/>
      <c r="BA568" s="109"/>
      <c r="BB568" s="109"/>
      <c r="BC568" s="109"/>
    </row>
    <row r="569" spans="1:55" x14ac:dyDescent="0.2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AY569" s="109"/>
      <c r="AZ569" s="109"/>
      <c r="BA569" s="109"/>
      <c r="BB569" s="109"/>
      <c r="BC569" s="109"/>
    </row>
    <row r="570" spans="1:55" x14ac:dyDescent="0.2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AY570" s="109"/>
      <c r="AZ570" s="109"/>
      <c r="BA570" s="109"/>
      <c r="BB570" s="109"/>
      <c r="BC570" s="109"/>
    </row>
    <row r="571" spans="1:55" x14ac:dyDescent="0.2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AY571" s="109"/>
      <c r="AZ571" s="109"/>
      <c r="BA571" s="109"/>
      <c r="BB571" s="109"/>
      <c r="BC571" s="109"/>
    </row>
    <row r="572" spans="1:55" x14ac:dyDescent="0.2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  <c r="AT572" s="109"/>
      <c r="AU572" s="109"/>
      <c r="AV572" s="109"/>
      <c r="AW572" s="109"/>
      <c r="AX572" s="109"/>
      <c r="AY572" s="109"/>
      <c r="AZ572" s="109"/>
      <c r="BA572" s="109"/>
      <c r="BB572" s="109"/>
      <c r="BC572" s="109"/>
    </row>
    <row r="573" spans="1:55" x14ac:dyDescent="0.2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  <c r="AT573" s="109"/>
      <c r="AU573" s="109"/>
      <c r="AV573" s="109"/>
      <c r="AW573" s="109"/>
      <c r="AX573" s="109"/>
      <c r="AY573" s="109"/>
      <c r="AZ573" s="109"/>
      <c r="BA573" s="109"/>
      <c r="BB573" s="109"/>
      <c r="BC573" s="109"/>
    </row>
    <row r="574" spans="1:55" x14ac:dyDescent="0.2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  <c r="AV574" s="109"/>
      <c r="AW574" s="109"/>
      <c r="AX574" s="109"/>
      <c r="AY574" s="109"/>
      <c r="AZ574" s="109"/>
      <c r="BA574" s="109"/>
      <c r="BB574" s="109"/>
      <c r="BC574" s="109"/>
    </row>
    <row r="575" spans="1:55" x14ac:dyDescent="0.2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AY575" s="109"/>
      <c r="AZ575" s="109"/>
      <c r="BA575" s="109"/>
      <c r="BB575" s="109"/>
      <c r="BC575" s="109"/>
    </row>
    <row r="576" spans="1:55" x14ac:dyDescent="0.2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AY576" s="109"/>
      <c r="AZ576" s="109"/>
      <c r="BA576" s="109"/>
      <c r="BB576" s="109"/>
      <c r="BC576" s="109"/>
    </row>
    <row r="577" spans="1:55" x14ac:dyDescent="0.2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AY577" s="109"/>
      <c r="AZ577" s="109"/>
      <c r="BA577" s="109"/>
      <c r="BB577" s="109"/>
      <c r="BC577" s="109"/>
    </row>
    <row r="578" spans="1:55" x14ac:dyDescent="0.2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AY578" s="109"/>
      <c r="AZ578" s="109"/>
      <c r="BA578" s="109"/>
      <c r="BB578" s="109"/>
      <c r="BC578" s="109"/>
    </row>
    <row r="579" spans="1:55" x14ac:dyDescent="0.2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AY579" s="109"/>
      <c r="AZ579" s="109"/>
      <c r="BA579" s="109"/>
      <c r="BB579" s="109"/>
      <c r="BC579" s="109"/>
    </row>
    <row r="580" spans="1:55" x14ac:dyDescent="0.2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AY580" s="109"/>
      <c r="AZ580" s="109"/>
      <c r="BA580" s="109"/>
      <c r="BB580" s="109"/>
      <c r="BC580" s="109"/>
    </row>
    <row r="581" spans="1:55" x14ac:dyDescent="0.2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  <c r="BA581" s="109"/>
      <c r="BB581" s="109"/>
      <c r="BC581" s="109"/>
    </row>
    <row r="582" spans="1:55" x14ac:dyDescent="0.2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  <c r="BA582" s="109"/>
      <c r="BB582" s="109"/>
      <c r="BC582" s="109"/>
    </row>
    <row r="583" spans="1:55" x14ac:dyDescent="0.2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  <c r="BA583" s="109"/>
      <c r="BB583" s="109"/>
      <c r="BC583" s="109"/>
    </row>
    <row r="584" spans="1:55" x14ac:dyDescent="0.2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AY584" s="109"/>
      <c r="AZ584" s="109"/>
      <c r="BA584" s="109"/>
      <c r="BB584" s="109"/>
      <c r="BC584" s="109"/>
    </row>
    <row r="585" spans="1:55" x14ac:dyDescent="0.2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AY585" s="109"/>
      <c r="AZ585" s="109"/>
      <c r="BA585" s="109"/>
      <c r="BB585" s="109"/>
      <c r="BC585" s="109"/>
    </row>
    <row r="586" spans="1:55" x14ac:dyDescent="0.2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AY586" s="109"/>
      <c r="AZ586" s="109"/>
      <c r="BA586" s="109"/>
      <c r="BB586" s="109"/>
      <c r="BC586" s="109"/>
    </row>
    <row r="587" spans="1:55" x14ac:dyDescent="0.2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  <c r="BA587" s="109"/>
      <c r="BB587" s="109"/>
      <c r="BC587" s="109"/>
    </row>
    <row r="588" spans="1:55" x14ac:dyDescent="0.2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AY588" s="109"/>
      <c r="AZ588" s="109"/>
      <c r="BA588" s="109"/>
      <c r="BB588" s="109"/>
      <c r="BC588" s="109"/>
    </row>
    <row r="589" spans="1:55" x14ac:dyDescent="0.2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AY589" s="109"/>
      <c r="AZ589" s="109"/>
      <c r="BA589" s="109"/>
      <c r="BB589" s="109"/>
      <c r="BC589" s="109"/>
    </row>
    <row r="590" spans="1:55" x14ac:dyDescent="0.2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AY590" s="109"/>
      <c r="AZ590" s="109"/>
      <c r="BA590" s="109"/>
      <c r="BB590" s="109"/>
      <c r="BC590" s="109"/>
    </row>
    <row r="591" spans="1:55" x14ac:dyDescent="0.2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AY591" s="109"/>
      <c r="AZ591" s="109"/>
      <c r="BA591" s="109"/>
      <c r="BB591" s="109"/>
      <c r="BC591" s="109"/>
    </row>
    <row r="592" spans="1:55" x14ac:dyDescent="0.2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AY592" s="109"/>
      <c r="AZ592" s="109"/>
      <c r="BA592" s="109"/>
      <c r="BB592" s="109"/>
      <c r="BC592" s="109"/>
    </row>
    <row r="593" spans="1:55" x14ac:dyDescent="0.2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AY593" s="109"/>
      <c r="AZ593" s="109"/>
      <c r="BA593" s="109"/>
      <c r="BB593" s="109"/>
      <c r="BC593" s="109"/>
    </row>
    <row r="594" spans="1:55" x14ac:dyDescent="0.2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AY594" s="109"/>
      <c r="AZ594" s="109"/>
      <c r="BA594" s="109"/>
      <c r="BB594" s="109"/>
      <c r="BC594" s="109"/>
    </row>
    <row r="595" spans="1:55" x14ac:dyDescent="0.2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  <c r="AV595" s="109"/>
      <c r="AW595" s="109"/>
      <c r="AX595" s="109"/>
      <c r="AY595" s="109"/>
      <c r="AZ595" s="109"/>
      <c r="BA595" s="109"/>
      <c r="BB595" s="109"/>
      <c r="BC595" s="109"/>
    </row>
    <row r="596" spans="1:55" x14ac:dyDescent="0.2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  <c r="AV596" s="109"/>
      <c r="AW596" s="109"/>
      <c r="AX596" s="109"/>
      <c r="AY596" s="109"/>
      <c r="AZ596" s="109"/>
      <c r="BA596" s="109"/>
      <c r="BB596" s="109"/>
      <c r="BC596" s="109"/>
    </row>
    <row r="597" spans="1:55" x14ac:dyDescent="0.2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  <c r="AV597" s="109"/>
      <c r="AW597" s="109"/>
      <c r="AX597" s="109"/>
      <c r="AY597" s="109"/>
      <c r="AZ597" s="109"/>
      <c r="BA597" s="109"/>
      <c r="BB597" s="109"/>
      <c r="BC597" s="109"/>
    </row>
    <row r="598" spans="1:55" x14ac:dyDescent="0.2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  <c r="AV598" s="109"/>
      <c r="AW598" s="109"/>
      <c r="AX598" s="109"/>
      <c r="AY598" s="109"/>
      <c r="AZ598" s="109"/>
      <c r="BA598" s="109"/>
      <c r="BB598" s="109"/>
      <c r="BC598" s="109"/>
    </row>
    <row r="599" spans="1:55" x14ac:dyDescent="0.2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  <c r="AV599" s="109"/>
      <c r="AW599" s="109"/>
      <c r="AX599" s="109"/>
      <c r="AY599" s="109"/>
      <c r="AZ599" s="109"/>
      <c r="BA599" s="109"/>
      <c r="BB599" s="109"/>
      <c r="BC599" s="109"/>
    </row>
    <row r="600" spans="1:55" x14ac:dyDescent="0.2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  <c r="AV600" s="109"/>
      <c r="AW600" s="109"/>
      <c r="AX600" s="109"/>
      <c r="AY600" s="109"/>
      <c r="AZ600" s="109"/>
      <c r="BA600" s="109"/>
      <c r="BB600" s="109"/>
      <c r="BC600" s="109"/>
    </row>
    <row r="601" spans="1:55" x14ac:dyDescent="0.2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  <c r="AV601" s="109"/>
      <c r="AW601" s="109"/>
      <c r="AX601" s="109"/>
      <c r="AY601" s="109"/>
      <c r="AZ601" s="109"/>
      <c r="BA601" s="109"/>
      <c r="BB601" s="109"/>
      <c r="BC601" s="109"/>
    </row>
    <row r="602" spans="1:55" x14ac:dyDescent="0.2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  <c r="AT602" s="109"/>
      <c r="AU602" s="109"/>
      <c r="AV602" s="109"/>
      <c r="AW602" s="109"/>
      <c r="AX602" s="109"/>
      <c r="AY602" s="109"/>
      <c r="AZ602" s="109"/>
      <c r="BA602" s="109"/>
      <c r="BB602" s="109"/>
      <c r="BC602" s="109"/>
    </row>
    <row r="603" spans="1:55" x14ac:dyDescent="0.2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  <c r="AT603" s="109"/>
      <c r="AU603" s="109"/>
      <c r="AV603" s="109"/>
      <c r="AW603" s="109"/>
      <c r="AX603" s="109"/>
      <c r="AY603" s="109"/>
      <c r="AZ603" s="109"/>
      <c r="BA603" s="109"/>
      <c r="BB603" s="109"/>
      <c r="BC603" s="109"/>
    </row>
    <row r="604" spans="1:55" x14ac:dyDescent="0.2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  <c r="AV604" s="109"/>
      <c r="AW604" s="109"/>
      <c r="AX604" s="109"/>
      <c r="AY604" s="109"/>
      <c r="AZ604" s="109"/>
      <c r="BA604" s="109"/>
      <c r="BB604" s="109"/>
      <c r="BC604" s="109"/>
    </row>
    <row r="605" spans="1:55" x14ac:dyDescent="0.2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  <c r="AV605" s="109"/>
      <c r="AW605" s="109"/>
      <c r="AX605" s="109"/>
      <c r="AY605" s="109"/>
      <c r="AZ605" s="109"/>
      <c r="BA605" s="109"/>
      <c r="BB605" s="109"/>
      <c r="BC605" s="109"/>
    </row>
    <row r="606" spans="1:55" x14ac:dyDescent="0.2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  <c r="AT606" s="109"/>
      <c r="AU606" s="109"/>
      <c r="AV606" s="109"/>
      <c r="AW606" s="109"/>
      <c r="AX606" s="109"/>
      <c r="AY606" s="109"/>
      <c r="AZ606" s="109"/>
      <c r="BA606" s="109"/>
      <c r="BB606" s="109"/>
      <c r="BC606" s="109"/>
    </row>
    <row r="607" spans="1:55" x14ac:dyDescent="0.2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  <c r="AT607" s="109"/>
      <c r="AU607" s="109"/>
      <c r="AV607" s="109"/>
      <c r="AW607" s="109"/>
      <c r="AX607" s="109"/>
      <c r="AY607" s="109"/>
      <c r="AZ607" s="109"/>
      <c r="BA607" s="109"/>
      <c r="BB607" s="109"/>
      <c r="BC607" s="109"/>
    </row>
    <row r="608" spans="1:55" x14ac:dyDescent="0.2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  <c r="AT608" s="109"/>
      <c r="AU608" s="109"/>
      <c r="AV608" s="109"/>
      <c r="AW608" s="109"/>
      <c r="AX608" s="109"/>
      <c r="AY608" s="109"/>
      <c r="AZ608" s="109"/>
      <c r="BA608" s="109"/>
      <c r="BB608" s="109"/>
      <c r="BC608" s="109"/>
    </row>
    <row r="609" spans="1:55" x14ac:dyDescent="0.2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9"/>
      <c r="AS609" s="109"/>
      <c r="AT609" s="109"/>
      <c r="AU609" s="109"/>
      <c r="AV609" s="109"/>
      <c r="AW609" s="109"/>
      <c r="AX609" s="109"/>
      <c r="AY609" s="109"/>
      <c r="AZ609" s="109"/>
      <c r="BA609" s="109"/>
      <c r="BB609" s="109"/>
      <c r="BC609" s="109"/>
    </row>
    <row r="610" spans="1:55" x14ac:dyDescent="0.2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  <c r="AT610" s="109"/>
      <c r="AU610" s="109"/>
      <c r="AV610" s="109"/>
      <c r="AW610" s="109"/>
      <c r="AX610" s="109"/>
      <c r="AY610" s="109"/>
      <c r="AZ610" s="109"/>
      <c r="BA610" s="109"/>
      <c r="BB610" s="109"/>
      <c r="BC610" s="109"/>
    </row>
    <row r="611" spans="1:55" x14ac:dyDescent="0.2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  <c r="AT611" s="109"/>
      <c r="AU611" s="109"/>
      <c r="AV611" s="109"/>
      <c r="AW611" s="109"/>
      <c r="AX611" s="109"/>
      <c r="AY611" s="109"/>
      <c r="AZ611" s="109"/>
      <c r="BA611" s="109"/>
      <c r="BB611" s="109"/>
      <c r="BC611" s="109"/>
    </row>
    <row r="612" spans="1:55" x14ac:dyDescent="0.2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  <c r="AT612" s="109"/>
      <c r="AU612" s="109"/>
      <c r="AV612" s="109"/>
      <c r="AW612" s="109"/>
      <c r="AX612" s="109"/>
      <c r="AY612" s="109"/>
      <c r="AZ612" s="109"/>
      <c r="BA612" s="109"/>
      <c r="BB612" s="109"/>
      <c r="BC612" s="109"/>
    </row>
    <row r="613" spans="1:55" x14ac:dyDescent="0.2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  <c r="AT613" s="109"/>
      <c r="AU613" s="109"/>
      <c r="AV613" s="109"/>
      <c r="AW613" s="109"/>
      <c r="AX613" s="109"/>
      <c r="AY613" s="109"/>
      <c r="AZ613" s="109"/>
      <c r="BA613" s="109"/>
      <c r="BB613" s="109"/>
      <c r="BC613" s="109"/>
    </row>
    <row r="614" spans="1:55" x14ac:dyDescent="0.2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  <c r="AT614" s="109"/>
      <c r="AU614" s="109"/>
      <c r="AV614" s="109"/>
      <c r="AW614" s="109"/>
      <c r="AX614" s="109"/>
      <c r="AY614" s="109"/>
      <c r="AZ614" s="109"/>
      <c r="BA614" s="109"/>
      <c r="BB614" s="109"/>
      <c r="BC614" s="109"/>
    </row>
    <row r="615" spans="1:55" x14ac:dyDescent="0.2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  <c r="AT615" s="109"/>
      <c r="AU615" s="109"/>
      <c r="AV615" s="109"/>
      <c r="AW615" s="109"/>
      <c r="AX615" s="109"/>
      <c r="AY615" s="109"/>
      <c r="AZ615" s="109"/>
      <c r="BA615" s="109"/>
      <c r="BB615" s="109"/>
      <c r="BC615" s="109"/>
    </row>
    <row r="616" spans="1:55" x14ac:dyDescent="0.2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  <c r="AT616" s="109"/>
      <c r="AU616" s="109"/>
      <c r="AV616" s="109"/>
      <c r="AW616" s="109"/>
      <c r="AX616" s="109"/>
      <c r="AY616" s="109"/>
      <c r="AZ616" s="109"/>
      <c r="BA616" s="109"/>
      <c r="BB616" s="109"/>
      <c r="BC616" s="109"/>
    </row>
    <row r="617" spans="1:55" x14ac:dyDescent="0.2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  <c r="AT617" s="109"/>
      <c r="AU617" s="109"/>
      <c r="AV617" s="109"/>
      <c r="AW617" s="109"/>
      <c r="AX617" s="109"/>
      <c r="AY617" s="109"/>
      <c r="AZ617" s="109"/>
      <c r="BA617" s="109"/>
      <c r="BB617" s="109"/>
      <c r="BC617" s="109"/>
    </row>
    <row r="618" spans="1:55" x14ac:dyDescent="0.2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  <c r="AT618" s="109"/>
      <c r="AU618" s="109"/>
      <c r="AV618" s="109"/>
      <c r="AW618" s="109"/>
      <c r="AX618" s="109"/>
      <c r="AY618" s="109"/>
      <c r="AZ618" s="109"/>
      <c r="BA618" s="109"/>
      <c r="BB618" s="109"/>
      <c r="BC618" s="109"/>
    </row>
    <row r="619" spans="1:55" x14ac:dyDescent="0.2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  <c r="AT619" s="109"/>
      <c r="AU619" s="109"/>
      <c r="AV619" s="109"/>
      <c r="AW619" s="109"/>
      <c r="AX619" s="109"/>
      <c r="AY619" s="109"/>
      <c r="AZ619" s="109"/>
      <c r="BA619" s="109"/>
      <c r="BB619" s="109"/>
      <c r="BC619" s="109"/>
    </row>
    <row r="620" spans="1:55" x14ac:dyDescent="0.2">
      <c r="A620" s="109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  <c r="AA620" s="109"/>
      <c r="AB620" s="109"/>
      <c r="AC620" s="109"/>
      <c r="AD620" s="109"/>
      <c r="AE620" s="109"/>
      <c r="AF620" s="109"/>
      <c r="AG620" s="109"/>
      <c r="AH620" s="109"/>
      <c r="AI620" s="109"/>
      <c r="AJ620" s="109"/>
      <c r="AK620" s="109"/>
      <c r="AL620" s="109"/>
      <c r="AM620" s="109"/>
      <c r="AN620" s="109"/>
      <c r="AO620" s="109"/>
      <c r="AP620" s="109"/>
      <c r="AQ620" s="109"/>
      <c r="AR620" s="109"/>
      <c r="AS620" s="109"/>
      <c r="AT620" s="109"/>
      <c r="AU620" s="109"/>
      <c r="AV620" s="109"/>
      <c r="AW620" s="109"/>
      <c r="AX620" s="109"/>
      <c r="AY620" s="109"/>
      <c r="AZ620" s="109"/>
      <c r="BA620" s="109"/>
      <c r="BB620" s="109"/>
      <c r="BC620" s="109"/>
    </row>
    <row r="621" spans="1:55" x14ac:dyDescent="0.2">
      <c r="A621" s="109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  <c r="AA621" s="109"/>
      <c r="AB621" s="109"/>
      <c r="AC621" s="109"/>
      <c r="AD621" s="109"/>
      <c r="AE621" s="109"/>
      <c r="AF621" s="109"/>
      <c r="AG621" s="109"/>
      <c r="AH621" s="109"/>
      <c r="AI621" s="109"/>
      <c r="AJ621" s="109"/>
      <c r="AK621" s="109"/>
      <c r="AL621" s="109"/>
      <c r="AM621" s="109"/>
      <c r="AN621" s="109"/>
      <c r="AO621" s="109"/>
      <c r="AP621" s="109"/>
      <c r="AQ621" s="109"/>
      <c r="AR621" s="109"/>
      <c r="AS621" s="109"/>
      <c r="AT621" s="109"/>
      <c r="AU621" s="109"/>
      <c r="AV621" s="109"/>
      <c r="AW621" s="109"/>
      <c r="AX621" s="109"/>
      <c r="AY621" s="109"/>
      <c r="AZ621" s="109"/>
      <c r="BA621" s="109"/>
      <c r="BB621" s="109"/>
      <c r="BC621" s="109"/>
    </row>
    <row r="622" spans="1:55" x14ac:dyDescent="0.2">
      <c r="A622" s="109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9"/>
      <c r="AS622" s="109"/>
      <c r="AT622" s="109"/>
      <c r="AU622" s="109"/>
      <c r="AV622" s="109"/>
      <c r="AW622" s="109"/>
      <c r="AX622" s="109"/>
      <c r="AY622" s="109"/>
      <c r="AZ622" s="109"/>
      <c r="BA622" s="109"/>
      <c r="BB622" s="109"/>
      <c r="BC622" s="109"/>
    </row>
    <row r="623" spans="1:55" x14ac:dyDescent="0.2">
      <c r="A623" s="109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9"/>
      <c r="AS623" s="109"/>
      <c r="AT623" s="109"/>
      <c r="AU623" s="109"/>
      <c r="AV623" s="109"/>
      <c r="AW623" s="109"/>
      <c r="AX623" s="109"/>
      <c r="AY623" s="109"/>
      <c r="AZ623" s="109"/>
      <c r="BA623" s="109"/>
      <c r="BB623" s="109"/>
      <c r="BC623" s="109"/>
    </row>
    <row r="624" spans="1:55" x14ac:dyDescent="0.2">
      <c r="A624" s="109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9"/>
      <c r="AS624" s="109"/>
      <c r="AT624" s="109"/>
      <c r="AU624" s="109"/>
      <c r="AV624" s="109"/>
      <c r="AW624" s="109"/>
      <c r="AX624" s="109"/>
      <c r="AY624" s="109"/>
      <c r="AZ624" s="109"/>
      <c r="BA624" s="109"/>
      <c r="BB624" s="109"/>
      <c r="BC624" s="109"/>
    </row>
    <row r="625" spans="1:55" x14ac:dyDescent="0.2">
      <c r="A625" s="109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9"/>
      <c r="AS625" s="109"/>
      <c r="AT625" s="109"/>
      <c r="AU625" s="109"/>
      <c r="AV625" s="109"/>
      <c r="AW625" s="109"/>
      <c r="AX625" s="109"/>
      <c r="AY625" s="109"/>
      <c r="AZ625" s="109"/>
      <c r="BA625" s="109"/>
      <c r="BB625" s="109"/>
      <c r="BC625" s="109"/>
    </row>
    <row r="626" spans="1:55" x14ac:dyDescent="0.2">
      <c r="A626" s="109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9"/>
      <c r="AS626" s="109"/>
      <c r="AT626" s="109"/>
      <c r="AU626" s="109"/>
      <c r="AV626" s="109"/>
      <c r="AW626" s="109"/>
      <c r="AX626" s="109"/>
      <c r="AY626" s="109"/>
      <c r="AZ626" s="109"/>
      <c r="BA626" s="109"/>
      <c r="BB626" s="109"/>
      <c r="BC626" s="109"/>
    </row>
    <row r="627" spans="1:55" x14ac:dyDescent="0.2">
      <c r="A627" s="109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  <c r="AL627" s="109"/>
      <c r="AM627" s="109"/>
      <c r="AN627" s="109"/>
      <c r="AO627" s="109"/>
      <c r="AP627" s="109"/>
      <c r="AQ627" s="109"/>
      <c r="AR627" s="109"/>
      <c r="AS627" s="109"/>
      <c r="AT627" s="109"/>
      <c r="AU627" s="109"/>
      <c r="AV627" s="109"/>
      <c r="AW627" s="109"/>
      <c r="AX627" s="109"/>
      <c r="AY627" s="109"/>
      <c r="AZ627" s="109"/>
      <c r="BA627" s="109"/>
      <c r="BB627" s="109"/>
      <c r="BC627" s="109"/>
    </row>
    <row r="628" spans="1:55" x14ac:dyDescent="0.2">
      <c r="A628" s="109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  <c r="AL628" s="109"/>
      <c r="AM628" s="109"/>
      <c r="AN628" s="109"/>
      <c r="AO628" s="109"/>
      <c r="AP628" s="109"/>
      <c r="AQ628" s="109"/>
      <c r="AR628" s="109"/>
      <c r="AS628" s="109"/>
      <c r="AT628" s="109"/>
      <c r="AU628" s="109"/>
      <c r="AV628" s="109"/>
      <c r="AW628" s="109"/>
      <c r="AX628" s="109"/>
      <c r="AY628" s="109"/>
      <c r="AZ628" s="109"/>
      <c r="BA628" s="109"/>
      <c r="BB628" s="109"/>
      <c r="BC628" s="109"/>
    </row>
    <row r="629" spans="1:55" x14ac:dyDescent="0.2">
      <c r="A629" s="109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  <c r="AL629" s="109"/>
      <c r="AM629" s="109"/>
      <c r="AN629" s="109"/>
      <c r="AO629" s="109"/>
      <c r="AP629" s="109"/>
      <c r="AQ629" s="109"/>
      <c r="AR629" s="109"/>
      <c r="AS629" s="109"/>
      <c r="AT629" s="109"/>
      <c r="AU629" s="109"/>
      <c r="AV629" s="109"/>
      <c r="AW629" s="109"/>
      <c r="AX629" s="109"/>
      <c r="AY629" s="109"/>
      <c r="AZ629" s="109"/>
      <c r="BA629" s="109"/>
      <c r="BB629" s="109"/>
      <c r="BC629" s="109"/>
    </row>
    <row r="630" spans="1:55" x14ac:dyDescent="0.2">
      <c r="A630" s="109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  <c r="AA630" s="109"/>
      <c r="AB630" s="109"/>
      <c r="AC630" s="109"/>
      <c r="AD630" s="109"/>
      <c r="AE630" s="109"/>
      <c r="AF630" s="109"/>
      <c r="AG630" s="109"/>
      <c r="AH630" s="109"/>
      <c r="AI630" s="109"/>
      <c r="AJ630" s="109"/>
      <c r="AK630" s="109"/>
      <c r="AL630" s="109"/>
      <c r="AM630" s="109"/>
      <c r="AN630" s="109"/>
      <c r="AO630" s="109"/>
      <c r="AP630" s="109"/>
      <c r="AQ630" s="109"/>
      <c r="AR630" s="109"/>
      <c r="AS630" s="109"/>
      <c r="AT630" s="109"/>
      <c r="AU630" s="109"/>
      <c r="AV630" s="109"/>
      <c r="AW630" s="109"/>
      <c r="AX630" s="109"/>
      <c r="AY630" s="109"/>
      <c r="AZ630" s="109"/>
      <c r="BA630" s="109"/>
      <c r="BB630" s="109"/>
      <c r="BC630" s="109"/>
    </row>
    <row r="631" spans="1:55" x14ac:dyDescent="0.2">
      <c r="A631" s="109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  <c r="AA631" s="109"/>
      <c r="AB631" s="109"/>
      <c r="AC631" s="109"/>
      <c r="AD631" s="109"/>
      <c r="AE631" s="109"/>
      <c r="AF631" s="109"/>
      <c r="AG631" s="109"/>
      <c r="AH631" s="109"/>
      <c r="AI631" s="109"/>
      <c r="AJ631" s="109"/>
      <c r="AK631" s="109"/>
      <c r="AL631" s="109"/>
      <c r="AM631" s="109"/>
      <c r="AN631" s="109"/>
      <c r="AO631" s="109"/>
      <c r="AP631" s="109"/>
      <c r="AQ631" s="109"/>
      <c r="AR631" s="109"/>
      <c r="AS631" s="109"/>
      <c r="AT631" s="109"/>
      <c r="AU631" s="109"/>
      <c r="AV631" s="109"/>
      <c r="AW631" s="109"/>
      <c r="AX631" s="109"/>
      <c r="AY631" s="109"/>
      <c r="AZ631" s="109"/>
      <c r="BA631" s="109"/>
      <c r="BB631" s="109"/>
      <c r="BC631" s="109"/>
    </row>
    <row r="632" spans="1:55" x14ac:dyDescent="0.2">
      <c r="A632" s="109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/>
      <c r="AD632" s="109"/>
      <c r="AE632" s="109"/>
      <c r="AF632" s="109"/>
      <c r="AG632" s="109"/>
      <c r="AH632" s="109"/>
      <c r="AI632" s="109"/>
      <c r="AJ632" s="109"/>
      <c r="AK632" s="109"/>
      <c r="AL632" s="109"/>
      <c r="AM632" s="109"/>
      <c r="AN632" s="109"/>
      <c r="AO632" s="109"/>
      <c r="AP632" s="109"/>
      <c r="AQ632" s="109"/>
      <c r="AR632" s="109"/>
      <c r="AS632" s="109"/>
      <c r="AT632" s="109"/>
      <c r="AU632" s="109"/>
      <c r="AV632" s="109"/>
      <c r="AW632" s="109"/>
      <c r="AX632" s="109"/>
      <c r="AY632" s="109"/>
      <c r="AZ632" s="109"/>
      <c r="BA632" s="109"/>
      <c r="BB632" s="109"/>
      <c r="BC632" s="109"/>
    </row>
    <row r="633" spans="1:55" x14ac:dyDescent="0.2">
      <c r="A633" s="109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  <c r="AH633" s="109"/>
      <c r="AI633" s="109"/>
      <c r="AJ633" s="109"/>
      <c r="AK633" s="109"/>
      <c r="AL633" s="109"/>
      <c r="AM633" s="109"/>
      <c r="AN633" s="109"/>
      <c r="AO633" s="109"/>
      <c r="AP633" s="109"/>
      <c r="AQ633" s="109"/>
      <c r="AR633" s="109"/>
      <c r="AS633" s="109"/>
      <c r="AT633" s="109"/>
      <c r="AU633" s="109"/>
      <c r="AV633" s="109"/>
      <c r="AW633" s="109"/>
      <c r="AX633" s="109"/>
      <c r="AY633" s="109"/>
      <c r="AZ633" s="109"/>
      <c r="BA633" s="109"/>
      <c r="BB633" s="109"/>
      <c r="BC633" s="109"/>
    </row>
    <row r="634" spans="1:55" x14ac:dyDescent="0.2">
      <c r="A634" s="109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  <c r="AL634" s="109"/>
      <c r="AM634" s="109"/>
      <c r="AN634" s="109"/>
      <c r="AO634" s="109"/>
      <c r="AP634" s="109"/>
      <c r="AQ634" s="109"/>
      <c r="AR634" s="109"/>
      <c r="AS634" s="109"/>
      <c r="AT634" s="109"/>
      <c r="AU634" s="109"/>
      <c r="AV634" s="109"/>
      <c r="AW634" s="109"/>
      <c r="AX634" s="109"/>
      <c r="AY634" s="109"/>
      <c r="AZ634" s="109"/>
      <c r="BA634" s="109"/>
      <c r="BB634" s="109"/>
      <c r="BC634" s="109"/>
    </row>
    <row r="635" spans="1:55" x14ac:dyDescent="0.2">
      <c r="A635" s="109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  <c r="AL635" s="109"/>
      <c r="AM635" s="109"/>
      <c r="AN635" s="109"/>
      <c r="AO635" s="109"/>
      <c r="AP635" s="109"/>
      <c r="AQ635" s="109"/>
      <c r="AR635" s="109"/>
      <c r="AS635" s="109"/>
      <c r="AT635" s="109"/>
      <c r="AU635" s="109"/>
      <c r="AV635" s="109"/>
      <c r="AW635" s="109"/>
      <c r="AX635" s="109"/>
      <c r="AY635" s="109"/>
      <c r="AZ635" s="109"/>
      <c r="BA635" s="109"/>
      <c r="BB635" s="109"/>
      <c r="BC635" s="109"/>
    </row>
    <row r="636" spans="1:55" x14ac:dyDescent="0.2">
      <c r="A636" s="109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9"/>
      <c r="AS636" s="109"/>
      <c r="AT636" s="109"/>
      <c r="AU636" s="109"/>
      <c r="AV636" s="109"/>
      <c r="AW636" s="109"/>
      <c r="AX636" s="109"/>
      <c r="AY636" s="109"/>
      <c r="AZ636" s="109"/>
      <c r="BA636" s="109"/>
      <c r="BB636" s="109"/>
      <c r="BC636" s="109"/>
    </row>
    <row r="637" spans="1:55" x14ac:dyDescent="0.2">
      <c r="A637" s="109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9"/>
      <c r="AS637" s="109"/>
      <c r="AT637" s="109"/>
      <c r="AU637" s="109"/>
      <c r="AV637" s="109"/>
      <c r="AW637" s="109"/>
      <c r="AX637" s="109"/>
      <c r="AY637" s="109"/>
      <c r="AZ637" s="109"/>
      <c r="BA637" s="109"/>
      <c r="BB637" s="109"/>
      <c r="BC637" s="109"/>
    </row>
    <row r="638" spans="1:55" x14ac:dyDescent="0.2">
      <c r="A638" s="109"/>
      <c r="B638" s="109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9"/>
      <c r="AS638" s="109"/>
      <c r="AT638" s="109"/>
      <c r="AU638" s="109"/>
      <c r="AV638" s="109"/>
      <c r="AW638" s="109"/>
      <c r="AX638" s="109"/>
      <c r="AY638" s="109"/>
      <c r="AZ638" s="109"/>
      <c r="BA638" s="109"/>
      <c r="BB638" s="109"/>
      <c r="BC638" s="109"/>
    </row>
    <row r="639" spans="1:55" x14ac:dyDescent="0.2">
      <c r="A639" s="109"/>
      <c r="B639" s="109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  <c r="AL639" s="109"/>
      <c r="AM639" s="109"/>
      <c r="AN639" s="109"/>
      <c r="AO639" s="109"/>
      <c r="AP639" s="109"/>
      <c r="AQ639" s="109"/>
      <c r="AR639" s="109"/>
      <c r="AS639" s="109"/>
      <c r="AT639" s="109"/>
      <c r="AU639" s="109"/>
      <c r="AV639" s="109"/>
      <c r="AW639" s="109"/>
      <c r="AX639" s="109"/>
      <c r="AY639" s="109"/>
      <c r="AZ639" s="109"/>
      <c r="BA639" s="109"/>
      <c r="BB639" s="109"/>
      <c r="BC639" s="109"/>
    </row>
    <row r="640" spans="1:55" x14ac:dyDescent="0.2">
      <c r="A640" s="109"/>
      <c r="B640" s="109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/>
      <c r="AM640" s="109"/>
      <c r="AN640" s="109"/>
      <c r="AO640" s="109"/>
      <c r="AP640" s="109"/>
      <c r="AQ640" s="109"/>
      <c r="AR640" s="109"/>
      <c r="AS640" s="109"/>
      <c r="AT640" s="109"/>
      <c r="AU640" s="109"/>
      <c r="AV640" s="109"/>
      <c r="AW640" s="109"/>
      <c r="AX640" s="109"/>
      <c r="AY640" s="109"/>
      <c r="AZ640" s="109"/>
      <c r="BA640" s="109"/>
      <c r="BB640" s="109"/>
      <c r="BC640" s="109"/>
    </row>
    <row r="641" spans="1:55" x14ac:dyDescent="0.2">
      <c r="A641" s="109"/>
      <c r="B641" s="109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  <c r="AL641" s="109"/>
      <c r="AM641" s="109"/>
      <c r="AN641" s="109"/>
      <c r="AO641" s="109"/>
      <c r="AP641" s="109"/>
      <c r="AQ641" s="109"/>
      <c r="AR641" s="109"/>
      <c r="AS641" s="109"/>
      <c r="AT641" s="109"/>
      <c r="AU641" s="109"/>
      <c r="AV641" s="109"/>
      <c r="AW641" s="109"/>
      <c r="AX641" s="109"/>
      <c r="AY641" s="109"/>
      <c r="AZ641" s="109"/>
      <c r="BA641" s="109"/>
      <c r="BB641" s="109"/>
      <c r="BC641" s="109"/>
    </row>
    <row r="642" spans="1:55" x14ac:dyDescent="0.2">
      <c r="A642" s="109"/>
      <c r="B642" s="109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  <c r="AL642" s="109"/>
      <c r="AM642" s="109"/>
      <c r="AN642" s="109"/>
      <c r="AO642" s="109"/>
      <c r="AP642" s="109"/>
      <c r="AQ642" s="109"/>
      <c r="AR642" s="109"/>
      <c r="AS642" s="109"/>
      <c r="AT642" s="109"/>
      <c r="AU642" s="109"/>
      <c r="AV642" s="109"/>
      <c r="AW642" s="109"/>
      <c r="AX642" s="109"/>
      <c r="AY642" s="109"/>
      <c r="AZ642" s="109"/>
      <c r="BA642" s="109"/>
      <c r="BB642" s="109"/>
      <c r="BC642" s="109"/>
    </row>
    <row r="643" spans="1:55" x14ac:dyDescent="0.2">
      <c r="A643" s="109"/>
      <c r="B643" s="109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  <c r="AD643" s="109"/>
      <c r="AE643" s="109"/>
      <c r="AF643" s="109"/>
      <c r="AG643" s="109"/>
      <c r="AH643" s="109"/>
      <c r="AI643" s="109"/>
      <c r="AJ643" s="109"/>
      <c r="AK643" s="109"/>
      <c r="AL643" s="109"/>
      <c r="AM643" s="109"/>
      <c r="AN643" s="109"/>
      <c r="AO643" s="109"/>
      <c r="AP643" s="109"/>
      <c r="AQ643" s="109"/>
      <c r="AR643" s="109"/>
      <c r="AS643" s="109"/>
      <c r="AT643" s="109"/>
      <c r="AU643" s="109"/>
      <c r="AV643" s="109"/>
      <c r="AW643" s="109"/>
      <c r="AX643" s="109"/>
      <c r="AY643" s="109"/>
      <c r="AZ643" s="109"/>
      <c r="BA643" s="109"/>
      <c r="BB643" s="109"/>
      <c r="BC643" s="109"/>
    </row>
    <row r="644" spans="1:55" x14ac:dyDescent="0.2">
      <c r="A644" s="109"/>
      <c r="B644" s="109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  <c r="AA644" s="109"/>
      <c r="AB644" s="109"/>
      <c r="AC644" s="109"/>
      <c r="AD644" s="109"/>
      <c r="AE644" s="109"/>
      <c r="AF644" s="109"/>
      <c r="AG644" s="109"/>
      <c r="AH644" s="109"/>
      <c r="AI644" s="109"/>
      <c r="AJ644" s="109"/>
      <c r="AK644" s="109"/>
      <c r="AL644" s="109"/>
      <c r="AM644" s="109"/>
      <c r="AN644" s="109"/>
      <c r="AO644" s="109"/>
      <c r="AP644" s="109"/>
      <c r="AQ644" s="109"/>
      <c r="AR644" s="109"/>
      <c r="AS644" s="109"/>
      <c r="AT644" s="109"/>
      <c r="AU644" s="109"/>
      <c r="AV644" s="109"/>
      <c r="AW644" s="109"/>
      <c r="AX644" s="109"/>
      <c r="AY644" s="109"/>
      <c r="AZ644" s="109"/>
      <c r="BA644" s="109"/>
      <c r="BB644" s="109"/>
      <c r="BC644" s="109"/>
    </row>
    <row r="645" spans="1:55" x14ac:dyDescent="0.2">
      <c r="A645" s="109"/>
      <c r="B645" s="109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/>
      <c r="AD645" s="109"/>
      <c r="AE645" s="109"/>
      <c r="AF645" s="109"/>
      <c r="AG645" s="109"/>
      <c r="AH645" s="109"/>
      <c r="AI645" s="109"/>
      <c r="AJ645" s="109"/>
      <c r="AK645" s="109"/>
      <c r="AL645" s="109"/>
      <c r="AM645" s="109"/>
      <c r="AN645" s="109"/>
      <c r="AO645" s="109"/>
      <c r="AP645" s="109"/>
      <c r="AQ645" s="109"/>
      <c r="AR645" s="109"/>
      <c r="AS645" s="109"/>
      <c r="AT645" s="109"/>
      <c r="AU645" s="109"/>
      <c r="AV645" s="109"/>
      <c r="AW645" s="109"/>
      <c r="AX645" s="109"/>
      <c r="AY645" s="109"/>
      <c r="AZ645" s="109"/>
      <c r="BA645" s="109"/>
      <c r="BB645" s="109"/>
      <c r="BC645" s="109"/>
    </row>
    <row r="646" spans="1:55" x14ac:dyDescent="0.2">
      <c r="A646" s="109"/>
      <c r="B646" s="109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  <c r="AD646" s="109"/>
      <c r="AE646" s="109"/>
      <c r="AF646" s="109"/>
      <c r="AG646" s="109"/>
      <c r="AH646" s="109"/>
      <c r="AI646" s="109"/>
      <c r="AJ646" s="109"/>
      <c r="AK646" s="109"/>
      <c r="AL646" s="109"/>
      <c r="AM646" s="109"/>
      <c r="AN646" s="109"/>
      <c r="AO646" s="109"/>
      <c r="AP646" s="109"/>
      <c r="AQ646" s="109"/>
      <c r="AR646" s="109"/>
      <c r="AS646" s="109"/>
      <c r="AT646" s="109"/>
      <c r="AU646" s="109"/>
      <c r="AV646" s="109"/>
      <c r="AW646" s="109"/>
      <c r="AX646" s="109"/>
      <c r="AY646" s="109"/>
      <c r="AZ646" s="109"/>
      <c r="BA646" s="109"/>
      <c r="BB646" s="109"/>
      <c r="BC646" s="109"/>
    </row>
    <row r="647" spans="1:55" x14ac:dyDescent="0.2">
      <c r="A647" s="109"/>
      <c r="B647" s="109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  <c r="AL647" s="109"/>
      <c r="AM647" s="109"/>
      <c r="AN647" s="109"/>
      <c r="AO647" s="109"/>
      <c r="AP647" s="109"/>
      <c r="AQ647" s="109"/>
      <c r="AR647" s="109"/>
      <c r="AS647" s="109"/>
      <c r="AT647" s="109"/>
      <c r="AU647" s="109"/>
      <c r="AV647" s="109"/>
      <c r="AW647" s="109"/>
      <c r="AX647" s="109"/>
      <c r="AY647" s="109"/>
      <c r="AZ647" s="109"/>
      <c r="BA647" s="109"/>
      <c r="BB647" s="109"/>
      <c r="BC647" s="109"/>
    </row>
    <row r="648" spans="1:55" x14ac:dyDescent="0.2">
      <c r="A648" s="109"/>
      <c r="B648" s="109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  <c r="AA648" s="109"/>
      <c r="AB648" s="109"/>
      <c r="AC648" s="109"/>
      <c r="AD648" s="109"/>
      <c r="AE648" s="109"/>
      <c r="AF648" s="109"/>
      <c r="AG648" s="109"/>
      <c r="AH648" s="109"/>
      <c r="AI648" s="109"/>
      <c r="AJ648" s="109"/>
      <c r="AK648" s="109"/>
      <c r="AL648" s="109"/>
      <c r="AM648" s="109"/>
      <c r="AN648" s="109"/>
      <c r="AO648" s="109"/>
      <c r="AP648" s="109"/>
      <c r="AQ648" s="109"/>
      <c r="AR648" s="109"/>
      <c r="AS648" s="109"/>
      <c r="AT648" s="109"/>
      <c r="AU648" s="109"/>
      <c r="AV648" s="109"/>
      <c r="AW648" s="109"/>
      <c r="AX648" s="109"/>
      <c r="AY648" s="109"/>
      <c r="AZ648" s="109"/>
      <c r="BA648" s="109"/>
      <c r="BB648" s="109"/>
      <c r="BC648" s="109"/>
    </row>
    <row r="649" spans="1:55" x14ac:dyDescent="0.2">
      <c r="A649" s="109"/>
      <c r="B649" s="109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  <c r="AD649" s="109"/>
      <c r="AE649" s="109"/>
      <c r="AF649" s="109"/>
      <c r="AG649" s="109"/>
      <c r="AH649" s="109"/>
      <c r="AI649" s="109"/>
      <c r="AJ649" s="109"/>
      <c r="AK649" s="109"/>
      <c r="AL649" s="109"/>
      <c r="AM649" s="109"/>
      <c r="AN649" s="109"/>
      <c r="AO649" s="109"/>
      <c r="AP649" s="109"/>
      <c r="AQ649" s="109"/>
      <c r="AR649" s="109"/>
      <c r="AS649" s="109"/>
      <c r="AT649" s="109"/>
      <c r="AU649" s="109"/>
      <c r="AV649" s="109"/>
      <c r="AW649" s="109"/>
      <c r="AX649" s="109"/>
      <c r="AY649" s="109"/>
      <c r="AZ649" s="109"/>
      <c r="BA649" s="109"/>
      <c r="BB649" s="109"/>
      <c r="BC649" s="109"/>
    </row>
    <row r="650" spans="1:55" x14ac:dyDescent="0.2">
      <c r="A650" s="109"/>
      <c r="B650" s="109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/>
      <c r="AM650" s="109"/>
      <c r="AN650" s="109"/>
      <c r="AO650" s="109"/>
      <c r="AP650" s="109"/>
      <c r="AQ650" s="109"/>
      <c r="AR650" s="109"/>
      <c r="AS650" s="109"/>
      <c r="AT650" s="109"/>
      <c r="AU650" s="109"/>
      <c r="AV650" s="109"/>
      <c r="AW650" s="109"/>
      <c r="AX650" s="109"/>
      <c r="AY650" s="109"/>
      <c r="AZ650" s="109"/>
      <c r="BA650" s="109"/>
      <c r="BB650" s="109"/>
      <c r="BC650" s="109"/>
    </row>
    <row r="651" spans="1:55" x14ac:dyDescent="0.2">
      <c r="A651" s="109"/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/>
      <c r="AM651" s="109"/>
      <c r="AN651" s="109"/>
      <c r="AO651" s="109"/>
      <c r="AP651" s="109"/>
      <c r="AQ651" s="109"/>
      <c r="AR651" s="109"/>
      <c r="AS651" s="109"/>
      <c r="AT651" s="109"/>
      <c r="AU651" s="109"/>
      <c r="AV651" s="109"/>
      <c r="AW651" s="109"/>
      <c r="AX651" s="109"/>
      <c r="AY651" s="109"/>
      <c r="AZ651" s="109"/>
      <c r="BA651" s="109"/>
      <c r="BB651" s="109"/>
      <c r="BC651" s="109"/>
    </row>
    <row r="652" spans="1:55" x14ac:dyDescent="0.2">
      <c r="A652" s="109"/>
      <c r="B652" s="109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  <c r="AD652" s="109"/>
      <c r="AE652" s="109"/>
      <c r="AF652" s="109"/>
      <c r="AG652" s="109"/>
      <c r="AH652" s="109"/>
      <c r="AI652" s="109"/>
      <c r="AJ652" s="109"/>
      <c r="AK652" s="109"/>
      <c r="AL652" s="109"/>
      <c r="AM652" s="109"/>
      <c r="AN652" s="109"/>
      <c r="AO652" s="109"/>
      <c r="AP652" s="109"/>
      <c r="AQ652" s="109"/>
      <c r="AR652" s="109"/>
      <c r="AS652" s="109"/>
      <c r="AT652" s="109"/>
      <c r="AU652" s="109"/>
      <c r="AV652" s="109"/>
      <c r="AW652" s="109"/>
      <c r="AX652" s="109"/>
      <c r="AY652" s="109"/>
      <c r="AZ652" s="109"/>
      <c r="BA652" s="109"/>
      <c r="BB652" s="109"/>
      <c r="BC652" s="109"/>
    </row>
    <row r="653" spans="1:55" x14ac:dyDescent="0.2">
      <c r="A653" s="109"/>
      <c r="B653" s="109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/>
      <c r="AM653" s="109"/>
      <c r="AN653" s="109"/>
      <c r="AO653" s="109"/>
      <c r="AP653" s="109"/>
      <c r="AQ653" s="109"/>
      <c r="AR653" s="109"/>
      <c r="AS653" s="109"/>
      <c r="AT653" s="109"/>
      <c r="AU653" s="109"/>
      <c r="AV653" s="109"/>
      <c r="AW653" s="109"/>
      <c r="AX653" s="109"/>
      <c r="AY653" s="109"/>
      <c r="AZ653" s="109"/>
      <c r="BA653" s="109"/>
      <c r="BB653" s="109"/>
      <c r="BC653" s="109"/>
    </row>
    <row r="654" spans="1:55" x14ac:dyDescent="0.2">
      <c r="A654" s="109"/>
      <c r="B654" s="109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  <c r="AL654" s="109"/>
      <c r="AM654" s="109"/>
      <c r="AN654" s="109"/>
      <c r="AO654" s="109"/>
      <c r="AP654" s="109"/>
      <c r="AQ654" s="109"/>
      <c r="AR654" s="109"/>
      <c r="AS654" s="109"/>
      <c r="AT654" s="109"/>
      <c r="AU654" s="109"/>
      <c r="AV654" s="109"/>
      <c r="AW654" s="109"/>
      <c r="AX654" s="109"/>
      <c r="AY654" s="109"/>
      <c r="AZ654" s="109"/>
      <c r="BA654" s="109"/>
      <c r="BB654" s="109"/>
      <c r="BC654" s="109"/>
    </row>
    <row r="655" spans="1:55" x14ac:dyDescent="0.2">
      <c r="A655" s="109"/>
      <c r="B655" s="109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/>
      <c r="AD655" s="109"/>
      <c r="AE655" s="109"/>
      <c r="AF655" s="109"/>
      <c r="AG655" s="109"/>
      <c r="AH655" s="109"/>
      <c r="AI655" s="109"/>
      <c r="AJ655" s="109"/>
      <c r="AK655" s="109"/>
      <c r="AL655" s="109"/>
      <c r="AM655" s="109"/>
      <c r="AN655" s="109"/>
      <c r="AO655" s="109"/>
      <c r="AP655" s="109"/>
      <c r="AQ655" s="109"/>
      <c r="AR655" s="109"/>
      <c r="AS655" s="109"/>
      <c r="AT655" s="109"/>
      <c r="AU655" s="109"/>
      <c r="AV655" s="109"/>
      <c r="AW655" s="109"/>
      <c r="AX655" s="109"/>
      <c r="AY655" s="109"/>
      <c r="AZ655" s="109"/>
      <c r="BA655" s="109"/>
      <c r="BB655" s="109"/>
      <c r="BC655" s="109"/>
    </row>
    <row r="656" spans="1:55" x14ac:dyDescent="0.2">
      <c r="A656" s="109"/>
      <c r="B656" s="109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  <c r="AL656" s="109"/>
      <c r="AM656" s="109"/>
      <c r="AN656" s="109"/>
      <c r="AO656" s="109"/>
      <c r="AP656" s="109"/>
      <c r="AQ656" s="109"/>
      <c r="AR656" s="109"/>
      <c r="AS656" s="109"/>
      <c r="AT656" s="109"/>
      <c r="AU656" s="109"/>
      <c r="AV656" s="109"/>
      <c r="AW656" s="109"/>
      <c r="AX656" s="109"/>
      <c r="AY656" s="109"/>
      <c r="AZ656" s="109"/>
      <c r="BA656" s="109"/>
      <c r="BB656" s="109"/>
      <c r="BC656" s="109"/>
    </row>
    <row r="657" spans="1:55" x14ac:dyDescent="0.2">
      <c r="A657" s="109"/>
      <c r="B657" s="109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  <c r="AT657" s="109"/>
      <c r="AU657" s="109"/>
      <c r="AV657" s="109"/>
      <c r="AW657" s="109"/>
      <c r="AX657" s="109"/>
      <c r="AY657" s="109"/>
      <c r="AZ657" s="109"/>
      <c r="BA657" s="109"/>
      <c r="BB657" s="109"/>
      <c r="BC657" s="109"/>
    </row>
    <row r="658" spans="1:55" x14ac:dyDescent="0.2">
      <c r="A658" s="109"/>
      <c r="B658" s="109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  <c r="AT658" s="109"/>
      <c r="AU658" s="109"/>
      <c r="AV658" s="109"/>
      <c r="AW658" s="109"/>
      <c r="AX658" s="109"/>
      <c r="AY658" s="109"/>
      <c r="AZ658" s="109"/>
      <c r="BA658" s="109"/>
      <c r="BB658" s="109"/>
      <c r="BC658" s="109"/>
    </row>
    <row r="659" spans="1:55" x14ac:dyDescent="0.2">
      <c r="A659" s="109"/>
      <c r="B659" s="109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Q659" s="109"/>
      <c r="AR659" s="109"/>
      <c r="AS659" s="109"/>
      <c r="AT659" s="109"/>
      <c r="AU659" s="109"/>
      <c r="AV659" s="109"/>
      <c r="AW659" s="109"/>
      <c r="AX659" s="109"/>
      <c r="AY659" s="109"/>
      <c r="AZ659" s="109"/>
      <c r="BA659" s="109"/>
      <c r="BB659" s="109"/>
      <c r="BC659" s="109"/>
    </row>
    <row r="660" spans="1:55" x14ac:dyDescent="0.2">
      <c r="A660" s="109"/>
      <c r="B660" s="109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  <c r="AT660" s="109"/>
      <c r="AU660" s="109"/>
      <c r="AV660" s="109"/>
      <c r="AW660" s="109"/>
      <c r="AX660" s="109"/>
      <c r="AY660" s="109"/>
      <c r="AZ660" s="109"/>
      <c r="BA660" s="109"/>
      <c r="BB660" s="109"/>
      <c r="BC660" s="109"/>
    </row>
    <row r="661" spans="1:55" x14ac:dyDescent="0.2">
      <c r="A661" s="109"/>
      <c r="B661" s="109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  <c r="AL661" s="109"/>
      <c r="AM661" s="109"/>
      <c r="AN661" s="109"/>
      <c r="AO661" s="109"/>
      <c r="AP661" s="109"/>
      <c r="AQ661" s="109"/>
      <c r="AR661" s="109"/>
      <c r="AS661" s="109"/>
      <c r="AT661" s="109"/>
      <c r="AU661" s="109"/>
      <c r="AV661" s="109"/>
      <c r="AW661" s="109"/>
      <c r="AX661" s="109"/>
      <c r="AY661" s="109"/>
      <c r="AZ661" s="109"/>
      <c r="BA661" s="109"/>
      <c r="BB661" s="109"/>
      <c r="BC661" s="109"/>
    </row>
    <row r="662" spans="1:55" x14ac:dyDescent="0.2">
      <c r="A662" s="109"/>
      <c r="B662" s="109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  <c r="AD662" s="109"/>
      <c r="AE662" s="109"/>
      <c r="AF662" s="109"/>
      <c r="AG662" s="109"/>
      <c r="AH662" s="109"/>
      <c r="AI662" s="109"/>
      <c r="AJ662" s="109"/>
      <c r="AK662" s="109"/>
      <c r="AL662" s="109"/>
      <c r="AM662" s="109"/>
      <c r="AN662" s="109"/>
      <c r="AO662" s="109"/>
      <c r="AP662" s="109"/>
      <c r="AQ662" s="109"/>
      <c r="AR662" s="109"/>
      <c r="AS662" s="109"/>
      <c r="AT662" s="109"/>
      <c r="AU662" s="109"/>
      <c r="AV662" s="109"/>
      <c r="AW662" s="109"/>
      <c r="AX662" s="109"/>
      <c r="AY662" s="109"/>
      <c r="AZ662" s="109"/>
      <c r="BA662" s="109"/>
      <c r="BB662" s="109"/>
      <c r="BC662" s="109"/>
    </row>
    <row r="663" spans="1:55" x14ac:dyDescent="0.2">
      <c r="A663" s="109"/>
      <c r="B663" s="109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  <c r="AL663" s="109"/>
      <c r="AM663" s="109"/>
      <c r="AN663" s="109"/>
      <c r="AO663" s="109"/>
      <c r="AP663" s="109"/>
      <c r="AQ663" s="109"/>
      <c r="AR663" s="109"/>
      <c r="AS663" s="109"/>
      <c r="AT663" s="109"/>
      <c r="AU663" s="109"/>
      <c r="AV663" s="109"/>
      <c r="AW663" s="109"/>
      <c r="AX663" s="109"/>
      <c r="AY663" s="109"/>
      <c r="AZ663" s="109"/>
      <c r="BA663" s="109"/>
      <c r="BB663" s="109"/>
      <c r="BC663" s="109"/>
    </row>
    <row r="664" spans="1:55" x14ac:dyDescent="0.2">
      <c r="A664" s="109"/>
      <c r="B664" s="109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9"/>
      <c r="AK664" s="109"/>
      <c r="AL664" s="109"/>
      <c r="AM664" s="109"/>
      <c r="AN664" s="109"/>
      <c r="AO664" s="109"/>
      <c r="AP664" s="109"/>
      <c r="AQ664" s="109"/>
      <c r="AR664" s="109"/>
      <c r="AS664" s="109"/>
      <c r="AT664" s="109"/>
      <c r="AU664" s="109"/>
      <c r="AV664" s="109"/>
      <c r="AW664" s="109"/>
      <c r="AX664" s="109"/>
      <c r="AY664" s="109"/>
      <c r="AZ664" s="109"/>
      <c r="BA664" s="109"/>
      <c r="BB664" s="109"/>
      <c r="BC664" s="109"/>
    </row>
    <row r="665" spans="1:55" x14ac:dyDescent="0.2">
      <c r="A665" s="109"/>
      <c r="B665" s="109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/>
      <c r="AM665" s="109"/>
      <c r="AN665" s="109"/>
      <c r="AO665" s="109"/>
      <c r="AP665" s="109"/>
      <c r="AQ665" s="109"/>
      <c r="AR665" s="109"/>
      <c r="AS665" s="109"/>
      <c r="AT665" s="109"/>
      <c r="AU665" s="109"/>
      <c r="AV665" s="109"/>
      <c r="AW665" s="109"/>
      <c r="AX665" s="109"/>
      <c r="AY665" s="109"/>
      <c r="AZ665" s="109"/>
      <c r="BA665" s="109"/>
      <c r="BB665" s="109"/>
      <c r="BC665" s="109"/>
    </row>
    <row r="666" spans="1:55" x14ac:dyDescent="0.2">
      <c r="A666" s="109"/>
      <c r="B666" s="109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Q666" s="109"/>
      <c r="AR666" s="109"/>
      <c r="AS666" s="109"/>
      <c r="AT666" s="109"/>
      <c r="AU666" s="109"/>
      <c r="AV666" s="109"/>
      <c r="AW666" s="109"/>
      <c r="AX666" s="109"/>
      <c r="AY666" s="109"/>
      <c r="AZ666" s="109"/>
      <c r="BA666" s="109"/>
      <c r="BB666" s="109"/>
      <c r="BC666" s="109"/>
    </row>
    <row r="667" spans="1:55" x14ac:dyDescent="0.2">
      <c r="A667" s="109"/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Q667" s="109"/>
      <c r="AR667" s="109"/>
      <c r="AS667" s="109"/>
      <c r="AT667" s="109"/>
      <c r="AU667" s="109"/>
      <c r="AV667" s="109"/>
      <c r="AW667" s="109"/>
      <c r="AX667" s="109"/>
      <c r="AY667" s="109"/>
      <c r="AZ667" s="109"/>
      <c r="BA667" s="109"/>
      <c r="BB667" s="109"/>
      <c r="BC667" s="109"/>
    </row>
    <row r="668" spans="1:55" x14ac:dyDescent="0.2">
      <c r="A668" s="109"/>
      <c r="B668" s="109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  <c r="AH668" s="109"/>
      <c r="AI668" s="109"/>
      <c r="AJ668" s="109"/>
      <c r="AK668" s="109"/>
      <c r="AL668" s="109"/>
      <c r="AM668" s="109"/>
      <c r="AN668" s="109"/>
      <c r="AO668" s="109"/>
      <c r="AP668" s="109"/>
      <c r="AQ668" s="109"/>
      <c r="AR668" s="109"/>
      <c r="AS668" s="109"/>
      <c r="AT668" s="109"/>
      <c r="AU668" s="109"/>
      <c r="AV668" s="109"/>
      <c r="AW668" s="109"/>
      <c r="AX668" s="109"/>
      <c r="AY668" s="109"/>
      <c r="AZ668" s="109"/>
      <c r="BA668" s="109"/>
      <c r="BB668" s="109"/>
      <c r="BC668" s="109"/>
    </row>
    <row r="669" spans="1:55" x14ac:dyDescent="0.2">
      <c r="A669" s="109"/>
      <c r="B669" s="109"/>
      <c r="C669" s="109"/>
      <c r="D669" s="109"/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  <c r="AH669" s="109"/>
      <c r="AI669" s="109"/>
      <c r="AJ669" s="109"/>
      <c r="AK669" s="109"/>
      <c r="AL669" s="109"/>
      <c r="AM669" s="109"/>
      <c r="AN669" s="109"/>
      <c r="AO669" s="109"/>
      <c r="AP669" s="109"/>
      <c r="AQ669" s="109"/>
      <c r="AR669" s="109"/>
      <c r="AS669" s="109"/>
      <c r="AT669" s="109"/>
      <c r="AU669" s="109"/>
      <c r="AV669" s="109"/>
      <c r="AW669" s="109"/>
      <c r="AX669" s="109"/>
      <c r="AY669" s="109"/>
      <c r="AZ669" s="109"/>
      <c r="BA669" s="109"/>
      <c r="BB669" s="109"/>
      <c r="BC669" s="109"/>
    </row>
    <row r="670" spans="1:55" x14ac:dyDescent="0.2">
      <c r="A670" s="109"/>
      <c r="B670" s="109"/>
      <c r="C670" s="109"/>
      <c r="D670" s="109"/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  <c r="AH670" s="109"/>
      <c r="AI670" s="109"/>
      <c r="AJ670" s="109"/>
      <c r="AK670" s="109"/>
      <c r="AL670" s="109"/>
      <c r="AM670" s="109"/>
      <c r="AN670" s="109"/>
      <c r="AO670" s="109"/>
      <c r="AP670" s="109"/>
      <c r="AQ670" s="109"/>
      <c r="AR670" s="109"/>
      <c r="AS670" s="109"/>
      <c r="AT670" s="109"/>
      <c r="AU670" s="109"/>
      <c r="AV670" s="109"/>
      <c r="AW670" s="109"/>
      <c r="AX670" s="109"/>
      <c r="AY670" s="109"/>
      <c r="AZ670" s="109"/>
      <c r="BA670" s="109"/>
      <c r="BB670" s="109"/>
      <c r="BC670" s="109"/>
    </row>
    <row r="671" spans="1:55" x14ac:dyDescent="0.2">
      <c r="A671" s="109"/>
      <c r="B671" s="109"/>
      <c r="C671" s="109"/>
      <c r="D671" s="109"/>
      <c r="E671" s="109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  <c r="AA671" s="109"/>
      <c r="AB671" s="109"/>
      <c r="AC671" s="109"/>
      <c r="AD671" s="109"/>
      <c r="AE671" s="109"/>
      <c r="AF671" s="109"/>
      <c r="AG671" s="109"/>
      <c r="AH671" s="109"/>
      <c r="AI671" s="109"/>
      <c r="AJ671" s="109"/>
      <c r="AK671" s="109"/>
      <c r="AL671" s="109"/>
      <c r="AM671" s="109"/>
      <c r="AN671" s="109"/>
      <c r="AO671" s="109"/>
      <c r="AP671" s="109"/>
      <c r="AQ671" s="109"/>
      <c r="AR671" s="109"/>
      <c r="AS671" s="109"/>
      <c r="AT671" s="109"/>
      <c r="AU671" s="109"/>
      <c r="AV671" s="109"/>
      <c r="AW671" s="109"/>
      <c r="AX671" s="109"/>
      <c r="AY671" s="109"/>
      <c r="AZ671" s="109"/>
      <c r="BA671" s="109"/>
      <c r="BB671" s="109"/>
      <c r="BC671" s="109"/>
    </row>
    <row r="672" spans="1:55" x14ac:dyDescent="0.2">
      <c r="A672" s="109"/>
      <c r="B672" s="109"/>
      <c r="C672" s="109"/>
      <c r="D672" s="109"/>
      <c r="E672" s="109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  <c r="AA672" s="109"/>
      <c r="AB672" s="109"/>
      <c r="AC672" s="109"/>
      <c r="AD672" s="109"/>
      <c r="AE672" s="109"/>
      <c r="AF672" s="109"/>
      <c r="AG672" s="109"/>
      <c r="AH672" s="109"/>
      <c r="AI672" s="109"/>
      <c r="AJ672" s="109"/>
      <c r="AK672" s="109"/>
      <c r="AL672" s="109"/>
      <c r="AM672" s="109"/>
      <c r="AN672" s="109"/>
      <c r="AO672" s="109"/>
      <c r="AP672" s="109"/>
      <c r="AQ672" s="109"/>
      <c r="AR672" s="109"/>
      <c r="AS672" s="109"/>
      <c r="AT672" s="109"/>
      <c r="AU672" s="109"/>
      <c r="AV672" s="109"/>
      <c r="AW672" s="109"/>
      <c r="AX672" s="109"/>
      <c r="AY672" s="109"/>
      <c r="AZ672" s="109"/>
      <c r="BA672" s="109"/>
      <c r="BB672" s="109"/>
      <c r="BC672" s="109"/>
    </row>
    <row r="673" spans="1:55" x14ac:dyDescent="0.2">
      <c r="A673" s="109"/>
      <c r="B673" s="109"/>
      <c r="C673" s="109"/>
      <c r="D673" s="109"/>
      <c r="E673" s="109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  <c r="AA673" s="109"/>
      <c r="AB673" s="109"/>
      <c r="AC673" s="109"/>
      <c r="AD673" s="109"/>
      <c r="AE673" s="109"/>
      <c r="AF673" s="109"/>
      <c r="AG673" s="109"/>
      <c r="AH673" s="109"/>
      <c r="AI673" s="109"/>
      <c r="AJ673" s="109"/>
      <c r="AK673" s="109"/>
      <c r="AL673" s="109"/>
      <c r="AM673" s="109"/>
      <c r="AN673" s="109"/>
      <c r="AO673" s="109"/>
      <c r="AP673" s="109"/>
      <c r="AQ673" s="109"/>
      <c r="AR673" s="109"/>
      <c r="AS673" s="109"/>
      <c r="AT673" s="109"/>
      <c r="AU673" s="109"/>
      <c r="AV673" s="109"/>
      <c r="AW673" s="109"/>
      <c r="AX673" s="109"/>
      <c r="AY673" s="109"/>
      <c r="AZ673" s="109"/>
      <c r="BA673" s="109"/>
      <c r="BB673" s="109"/>
      <c r="BC673" s="109"/>
    </row>
    <row r="674" spans="1:55" x14ac:dyDescent="0.2">
      <c r="A674" s="109"/>
      <c r="B674" s="109"/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  <c r="AA674" s="109"/>
      <c r="AB674" s="109"/>
      <c r="AC674" s="109"/>
      <c r="AD674" s="109"/>
      <c r="AE674" s="109"/>
      <c r="AF674" s="109"/>
      <c r="AG674" s="109"/>
      <c r="AH674" s="109"/>
      <c r="AI674" s="109"/>
      <c r="AJ674" s="109"/>
      <c r="AK674" s="109"/>
      <c r="AL674" s="109"/>
      <c r="AM674" s="109"/>
      <c r="AN674" s="109"/>
      <c r="AO674" s="109"/>
      <c r="AP674" s="109"/>
      <c r="AQ674" s="109"/>
      <c r="AR674" s="109"/>
      <c r="AS674" s="109"/>
      <c r="AT674" s="109"/>
      <c r="AU674" s="109"/>
      <c r="AV674" s="109"/>
      <c r="AW674" s="109"/>
      <c r="AX674" s="109"/>
      <c r="AY674" s="109"/>
      <c r="AZ674" s="109"/>
      <c r="BA674" s="109"/>
      <c r="BB674" s="109"/>
      <c r="BC674" s="109"/>
    </row>
    <row r="675" spans="1:55" x14ac:dyDescent="0.2">
      <c r="A675" s="109"/>
      <c r="B675" s="109"/>
      <c r="C675" s="109"/>
      <c r="D675" s="109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  <c r="AA675" s="109"/>
      <c r="AB675" s="109"/>
      <c r="AC675" s="109"/>
      <c r="AD675" s="109"/>
      <c r="AE675" s="109"/>
      <c r="AF675" s="109"/>
      <c r="AG675" s="109"/>
      <c r="AH675" s="109"/>
      <c r="AI675" s="109"/>
      <c r="AJ675" s="109"/>
      <c r="AK675" s="109"/>
      <c r="AL675" s="109"/>
      <c r="AM675" s="109"/>
      <c r="AN675" s="109"/>
      <c r="AO675" s="109"/>
      <c r="AP675" s="109"/>
      <c r="AQ675" s="109"/>
      <c r="AR675" s="109"/>
      <c r="AS675" s="109"/>
      <c r="AT675" s="109"/>
      <c r="AU675" s="109"/>
      <c r="AV675" s="109"/>
      <c r="AW675" s="109"/>
      <c r="AX675" s="109"/>
      <c r="AY675" s="109"/>
      <c r="AZ675" s="109"/>
      <c r="BA675" s="109"/>
      <c r="BB675" s="109"/>
      <c r="BC675" s="109"/>
    </row>
    <row r="676" spans="1:55" x14ac:dyDescent="0.2">
      <c r="A676" s="109"/>
      <c r="B676" s="109"/>
      <c r="C676" s="109"/>
      <c r="D676" s="109"/>
      <c r="E676" s="109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  <c r="AA676" s="109"/>
      <c r="AB676" s="109"/>
      <c r="AC676" s="109"/>
      <c r="AD676" s="109"/>
      <c r="AE676" s="109"/>
      <c r="AF676" s="109"/>
      <c r="AG676" s="109"/>
      <c r="AH676" s="109"/>
      <c r="AI676" s="109"/>
      <c r="AJ676" s="109"/>
      <c r="AK676" s="109"/>
      <c r="AL676" s="109"/>
      <c r="AM676" s="109"/>
      <c r="AN676" s="109"/>
      <c r="AO676" s="109"/>
      <c r="AP676" s="109"/>
      <c r="AQ676" s="109"/>
      <c r="AR676" s="109"/>
      <c r="AS676" s="109"/>
      <c r="AT676" s="109"/>
      <c r="AU676" s="109"/>
      <c r="AV676" s="109"/>
      <c r="AW676" s="109"/>
      <c r="AX676" s="109"/>
      <c r="AY676" s="109"/>
      <c r="AZ676" s="109"/>
      <c r="BA676" s="109"/>
      <c r="BB676" s="109"/>
      <c r="BC676" s="109"/>
    </row>
    <row r="677" spans="1:55" x14ac:dyDescent="0.2">
      <c r="A677" s="109"/>
      <c r="B677" s="109"/>
      <c r="C677" s="109"/>
      <c r="D677" s="109"/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  <c r="AD677" s="109"/>
      <c r="AE677" s="109"/>
      <c r="AF677" s="109"/>
      <c r="AG677" s="109"/>
      <c r="AH677" s="109"/>
      <c r="AI677" s="109"/>
      <c r="AJ677" s="109"/>
      <c r="AK677" s="109"/>
      <c r="AL677" s="109"/>
      <c r="AM677" s="109"/>
      <c r="AN677" s="109"/>
      <c r="AO677" s="109"/>
      <c r="AP677" s="109"/>
      <c r="AQ677" s="109"/>
      <c r="AR677" s="109"/>
      <c r="AS677" s="109"/>
      <c r="AT677" s="109"/>
      <c r="AU677" s="109"/>
      <c r="AV677" s="109"/>
      <c r="AW677" s="109"/>
      <c r="AX677" s="109"/>
      <c r="AY677" s="109"/>
      <c r="AZ677" s="109"/>
      <c r="BA677" s="109"/>
      <c r="BB677" s="109"/>
      <c r="BC677" s="109"/>
    </row>
    <row r="678" spans="1:55" x14ac:dyDescent="0.2">
      <c r="A678" s="109"/>
      <c r="B678" s="109"/>
      <c r="C678" s="109"/>
      <c r="D678" s="109"/>
      <c r="E678" s="109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  <c r="AA678" s="109"/>
      <c r="AB678" s="109"/>
      <c r="AC678" s="109"/>
      <c r="AD678" s="109"/>
      <c r="AE678" s="109"/>
      <c r="AF678" s="109"/>
      <c r="AG678" s="109"/>
      <c r="AH678" s="109"/>
      <c r="AI678" s="109"/>
      <c r="AJ678" s="109"/>
      <c r="AK678" s="109"/>
      <c r="AL678" s="109"/>
      <c r="AM678" s="109"/>
      <c r="AN678" s="109"/>
      <c r="AO678" s="109"/>
      <c r="AP678" s="109"/>
      <c r="AQ678" s="109"/>
      <c r="AR678" s="109"/>
      <c r="AS678" s="109"/>
      <c r="AT678" s="109"/>
      <c r="AU678" s="109"/>
      <c r="AV678" s="109"/>
      <c r="AW678" s="109"/>
      <c r="AX678" s="109"/>
      <c r="AY678" s="109"/>
      <c r="AZ678" s="109"/>
      <c r="BA678" s="109"/>
      <c r="BB678" s="109"/>
      <c r="BC678" s="109"/>
    </row>
    <row r="679" spans="1:55" x14ac:dyDescent="0.2">
      <c r="A679" s="109"/>
      <c r="B679" s="109"/>
      <c r="C679" s="109"/>
      <c r="D679" s="109"/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  <c r="AA679" s="109"/>
      <c r="AB679" s="109"/>
      <c r="AC679" s="109"/>
      <c r="AD679" s="109"/>
      <c r="AE679" s="109"/>
      <c r="AF679" s="109"/>
      <c r="AG679" s="109"/>
      <c r="AH679" s="109"/>
      <c r="AI679" s="109"/>
      <c r="AJ679" s="109"/>
      <c r="AK679" s="109"/>
      <c r="AL679" s="109"/>
      <c r="AM679" s="109"/>
      <c r="AN679" s="109"/>
      <c r="AO679" s="109"/>
      <c r="AP679" s="109"/>
      <c r="AQ679" s="109"/>
      <c r="AR679" s="109"/>
      <c r="AS679" s="109"/>
      <c r="AT679" s="109"/>
      <c r="AU679" s="109"/>
      <c r="AV679" s="109"/>
      <c r="AW679" s="109"/>
      <c r="AX679" s="109"/>
      <c r="AY679" s="109"/>
      <c r="AZ679" s="109"/>
      <c r="BA679" s="109"/>
      <c r="BB679" s="109"/>
      <c r="BC679" s="109"/>
    </row>
    <row r="680" spans="1:55" x14ac:dyDescent="0.2">
      <c r="A680" s="109"/>
      <c r="B680" s="109"/>
      <c r="C680" s="109"/>
      <c r="D680" s="109"/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  <c r="AA680" s="109"/>
      <c r="AB680" s="109"/>
      <c r="AC680" s="109"/>
      <c r="AD680" s="109"/>
      <c r="AE680" s="109"/>
      <c r="AF680" s="109"/>
      <c r="AG680" s="109"/>
      <c r="AH680" s="109"/>
      <c r="AI680" s="109"/>
      <c r="AJ680" s="109"/>
      <c r="AK680" s="109"/>
      <c r="AL680" s="109"/>
      <c r="AM680" s="109"/>
      <c r="AN680" s="109"/>
      <c r="AO680" s="109"/>
      <c r="AP680" s="109"/>
      <c r="AQ680" s="109"/>
      <c r="AR680" s="109"/>
      <c r="AS680" s="109"/>
      <c r="AT680" s="109"/>
      <c r="AU680" s="109"/>
      <c r="AV680" s="109"/>
      <c r="AW680" s="109"/>
      <c r="AX680" s="109"/>
      <c r="AY680" s="109"/>
      <c r="AZ680" s="109"/>
      <c r="BA680" s="109"/>
      <c r="BB680" s="109"/>
      <c r="BC680" s="109"/>
    </row>
    <row r="681" spans="1:55" x14ac:dyDescent="0.2">
      <c r="A681" s="109"/>
      <c r="B681" s="109"/>
      <c r="C681" s="109"/>
      <c r="D681" s="109"/>
      <c r="E681" s="109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  <c r="AA681" s="109"/>
      <c r="AB681" s="109"/>
      <c r="AC681" s="109"/>
      <c r="AD681" s="109"/>
      <c r="AE681" s="109"/>
      <c r="AF681" s="109"/>
      <c r="AG681" s="109"/>
      <c r="AH681" s="109"/>
      <c r="AI681" s="109"/>
      <c r="AJ681" s="109"/>
      <c r="AK681" s="109"/>
      <c r="AL681" s="109"/>
      <c r="AM681" s="109"/>
      <c r="AN681" s="109"/>
      <c r="AO681" s="109"/>
      <c r="AP681" s="109"/>
      <c r="AQ681" s="109"/>
      <c r="AR681" s="109"/>
      <c r="AS681" s="109"/>
      <c r="AT681" s="109"/>
      <c r="AU681" s="109"/>
      <c r="AV681" s="109"/>
      <c r="AW681" s="109"/>
      <c r="AX681" s="109"/>
      <c r="AY681" s="109"/>
      <c r="AZ681" s="109"/>
      <c r="BA681" s="109"/>
      <c r="BB681" s="109"/>
      <c r="BC681" s="109"/>
    </row>
    <row r="682" spans="1:55" x14ac:dyDescent="0.2">
      <c r="A682" s="109"/>
      <c r="B682" s="109"/>
      <c r="C682" s="109"/>
      <c r="D682" s="109"/>
      <c r="E682" s="109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  <c r="AA682" s="109"/>
      <c r="AB682" s="109"/>
      <c r="AC682" s="109"/>
      <c r="AD682" s="109"/>
      <c r="AE682" s="109"/>
      <c r="AF682" s="109"/>
      <c r="AG682" s="109"/>
      <c r="AH682" s="109"/>
      <c r="AI682" s="109"/>
      <c r="AJ682" s="109"/>
      <c r="AK682" s="109"/>
      <c r="AL682" s="109"/>
      <c r="AM682" s="109"/>
      <c r="AN682" s="109"/>
      <c r="AO682" s="109"/>
      <c r="AP682" s="109"/>
      <c r="AQ682" s="109"/>
      <c r="AR682" s="109"/>
      <c r="AS682" s="109"/>
      <c r="AT682" s="109"/>
      <c r="AU682" s="109"/>
      <c r="AV682" s="109"/>
      <c r="AW682" s="109"/>
      <c r="AX682" s="109"/>
      <c r="AY682" s="109"/>
      <c r="AZ682" s="109"/>
      <c r="BA682" s="109"/>
      <c r="BB682" s="109"/>
      <c r="BC682" s="109"/>
    </row>
    <row r="683" spans="1:55" x14ac:dyDescent="0.2">
      <c r="A683" s="109"/>
      <c r="B683" s="109"/>
      <c r="C683" s="109"/>
      <c r="D683" s="109"/>
      <c r="E683" s="109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  <c r="AA683" s="109"/>
      <c r="AB683" s="109"/>
      <c r="AC683" s="109"/>
      <c r="AD683" s="109"/>
      <c r="AE683" s="109"/>
      <c r="AF683" s="109"/>
      <c r="AG683" s="109"/>
      <c r="AH683" s="109"/>
      <c r="AI683" s="109"/>
      <c r="AJ683" s="109"/>
      <c r="AK683" s="109"/>
      <c r="AL683" s="109"/>
      <c r="AM683" s="109"/>
      <c r="AN683" s="109"/>
      <c r="AO683" s="109"/>
      <c r="AP683" s="109"/>
      <c r="AQ683" s="109"/>
      <c r="AR683" s="109"/>
      <c r="AS683" s="109"/>
      <c r="AT683" s="109"/>
      <c r="AU683" s="109"/>
      <c r="AV683" s="109"/>
      <c r="AW683" s="109"/>
      <c r="AX683" s="109"/>
      <c r="AY683" s="109"/>
      <c r="AZ683" s="109"/>
      <c r="BA683" s="109"/>
      <c r="BB683" s="109"/>
      <c r="BC683" s="109"/>
    </row>
    <row r="684" spans="1:55" x14ac:dyDescent="0.2">
      <c r="A684" s="109"/>
      <c r="B684" s="109"/>
      <c r="C684" s="109"/>
      <c r="D684" s="109"/>
      <c r="E684" s="109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  <c r="AA684" s="109"/>
      <c r="AB684" s="109"/>
      <c r="AC684" s="109"/>
      <c r="AD684" s="109"/>
      <c r="AE684" s="109"/>
      <c r="AF684" s="109"/>
      <c r="AG684" s="109"/>
      <c r="AH684" s="109"/>
      <c r="AI684" s="109"/>
      <c r="AJ684" s="109"/>
      <c r="AK684" s="109"/>
      <c r="AL684" s="109"/>
      <c r="AM684" s="109"/>
      <c r="AN684" s="109"/>
      <c r="AO684" s="109"/>
      <c r="AP684" s="109"/>
      <c r="AQ684" s="109"/>
      <c r="AR684" s="109"/>
      <c r="AS684" s="109"/>
      <c r="AT684" s="109"/>
      <c r="AU684" s="109"/>
      <c r="AV684" s="109"/>
      <c r="AW684" s="109"/>
      <c r="AX684" s="109"/>
      <c r="AY684" s="109"/>
      <c r="AZ684" s="109"/>
      <c r="BA684" s="109"/>
      <c r="BB684" s="109"/>
      <c r="BC684" s="109"/>
    </row>
    <row r="685" spans="1:55" x14ac:dyDescent="0.2">
      <c r="A685" s="109"/>
      <c r="B685" s="109"/>
      <c r="C685" s="109"/>
      <c r="D685" s="109"/>
      <c r="E685" s="109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  <c r="AA685" s="109"/>
      <c r="AB685" s="109"/>
      <c r="AC685" s="109"/>
      <c r="AD685" s="109"/>
      <c r="AE685" s="109"/>
      <c r="AF685" s="109"/>
      <c r="AG685" s="109"/>
      <c r="AH685" s="109"/>
      <c r="AI685" s="109"/>
      <c r="AJ685" s="109"/>
      <c r="AK685" s="109"/>
      <c r="AL685" s="109"/>
      <c r="AM685" s="109"/>
      <c r="AN685" s="109"/>
      <c r="AO685" s="109"/>
      <c r="AP685" s="109"/>
      <c r="AQ685" s="109"/>
      <c r="AR685" s="109"/>
      <c r="AS685" s="109"/>
      <c r="AT685" s="109"/>
      <c r="AU685" s="109"/>
      <c r="AV685" s="109"/>
      <c r="AW685" s="109"/>
      <c r="AX685" s="109"/>
      <c r="AY685" s="109"/>
      <c r="AZ685" s="109"/>
      <c r="BA685" s="109"/>
      <c r="BB685" s="109"/>
      <c r="BC685" s="109"/>
    </row>
    <row r="686" spans="1:55" x14ac:dyDescent="0.2">
      <c r="A686" s="109"/>
      <c r="B686" s="109"/>
      <c r="C686" s="109"/>
      <c r="D686" s="109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  <c r="AA686" s="109"/>
      <c r="AB686" s="109"/>
      <c r="AC686" s="109"/>
      <c r="AD686" s="109"/>
      <c r="AE686" s="109"/>
      <c r="AF686" s="109"/>
      <c r="AG686" s="109"/>
      <c r="AH686" s="109"/>
      <c r="AI686" s="109"/>
      <c r="AJ686" s="109"/>
      <c r="AK686" s="109"/>
      <c r="AL686" s="109"/>
      <c r="AM686" s="109"/>
      <c r="AN686" s="109"/>
      <c r="AO686" s="109"/>
      <c r="AP686" s="109"/>
      <c r="AQ686" s="109"/>
      <c r="AR686" s="109"/>
      <c r="AS686" s="109"/>
      <c r="AT686" s="109"/>
      <c r="AU686" s="109"/>
      <c r="AV686" s="109"/>
      <c r="AW686" s="109"/>
      <c r="AX686" s="109"/>
      <c r="AY686" s="109"/>
      <c r="AZ686" s="109"/>
      <c r="BA686" s="109"/>
      <c r="BB686" s="109"/>
      <c r="BC686" s="109"/>
    </row>
    <row r="687" spans="1:55" x14ac:dyDescent="0.2">
      <c r="A687" s="109"/>
      <c r="B687" s="109"/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  <c r="AA687" s="109"/>
      <c r="AB687" s="109"/>
      <c r="AC687" s="109"/>
      <c r="AD687" s="109"/>
      <c r="AE687" s="109"/>
      <c r="AF687" s="109"/>
      <c r="AG687" s="109"/>
      <c r="AH687" s="109"/>
      <c r="AI687" s="109"/>
      <c r="AJ687" s="109"/>
      <c r="AK687" s="109"/>
      <c r="AL687" s="109"/>
      <c r="AM687" s="109"/>
      <c r="AN687" s="109"/>
      <c r="AO687" s="109"/>
      <c r="AP687" s="109"/>
      <c r="AQ687" s="109"/>
      <c r="AR687" s="109"/>
      <c r="AS687" s="109"/>
      <c r="AT687" s="109"/>
      <c r="AU687" s="109"/>
      <c r="AV687" s="109"/>
      <c r="AW687" s="109"/>
      <c r="AX687" s="109"/>
      <c r="AY687" s="109"/>
      <c r="AZ687" s="109"/>
      <c r="BA687" s="109"/>
      <c r="BB687" s="109"/>
      <c r="BC687" s="109"/>
    </row>
    <row r="688" spans="1:55" x14ac:dyDescent="0.2">
      <c r="A688" s="109"/>
      <c r="B688" s="109"/>
      <c r="C688" s="109"/>
      <c r="D688" s="109"/>
      <c r="E688" s="109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  <c r="AA688" s="109"/>
      <c r="AB688" s="109"/>
      <c r="AC688" s="109"/>
      <c r="AD688" s="109"/>
      <c r="AE688" s="109"/>
      <c r="AF688" s="109"/>
      <c r="AG688" s="109"/>
      <c r="AH688" s="109"/>
      <c r="AI688" s="109"/>
      <c r="AJ688" s="109"/>
      <c r="AK688" s="109"/>
      <c r="AL688" s="109"/>
      <c r="AM688" s="109"/>
      <c r="AN688" s="109"/>
      <c r="AO688" s="109"/>
      <c r="AP688" s="109"/>
      <c r="AQ688" s="109"/>
      <c r="AR688" s="109"/>
      <c r="AS688" s="109"/>
      <c r="AT688" s="109"/>
      <c r="AU688" s="109"/>
      <c r="AV688" s="109"/>
      <c r="AW688" s="109"/>
      <c r="AX688" s="109"/>
      <c r="AY688" s="109"/>
      <c r="AZ688" s="109"/>
      <c r="BA688" s="109"/>
      <c r="BB688" s="109"/>
      <c r="BC688" s="109"/>
    </row>
    <row r="689" spans="1:55" x14ac:dyDescent="0.2">
      <c r="A689" s="109"/>
      <c r="B689" s="109"/>
      <c r="C689" s="109"/>
      <c r="D689" s="109"/>
      <c r="E689" s="109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  <c r="AA689" s="109"/>
      <c r="AB689" s="109"/>
      <c r="AC689" s="109"/>
      <c r="AD689" s="109"/>
      <c r="AE689" s="109"/>
      <c r="AF689" s="109"/>
      <c r="AG689" s="109"/>
      <c r="AH689" s="109"/>
      <c r="AI689" s="109"/>
      <c r="AJ689" s="109"/>
      <c r="AK689" s="109"/>
      <c r="AL689" s="109"/>
      <c r="AM689" s="109"/>
      <c r="AN689" s="109"/>
      <c r="AO689" s="109"/>
      <c r="AP689" s="109"/>
      <c r="AQ689" s="109"/>
      <c r="AR689" s="109"/>
      <c r="AS689" s="109"/>
      <c r="AT689" s="109"/>
      <c r="AU689" s="109"/>
      <c r="AV689" s="109"/>
      <c r="AW689" s="109"/>
      <c r="AX689" s="109"/>
      <c r="AY689" s="109"/>
      <c r="AZ689" s="109"/>
      <c r="BA689" s="109"/>
      <c r="BB689" s="109"/>
      <c r="BC689" s="109"/>
    </row>
    <row r="690" spans="1:55" x14ac:dyDescent="0.2">
      <c r="A690" s="109"/>
      <c r="B690" s="109"/>
      <c r="C690" s="109"/>
      <c r="D690" s="109"/>
      <c r="E690" s="109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  <c r="AA690" s="109"/>
      <c r="AB690" s="109"/>
      <c r="AC690" s="109"/>
      <c r="AD690" s="109"/>
      <c r="AE690" s="109"/>
      <c r="AF690" s="109"/>
      <c r="AG690" s="109"/>
      <c r="AH690" s="109"/>
      <c r="AI690" s="109"/>
      <c r="AJ690" s="109"/>
      <c r="AK690" s="109"/>
      <c r="AL690" s="109"/>
      <c r="AM690" s="109"/>
      <c r="AN690" s="109"/>
      <c r="AO690" s="109"/>
      <c r="AP690" s="109"/>
      <c r="AQ690" s="109"/>
      <c r="AR690" s="109"/>
      <c r="AS690" s="109"/>
      <c r="AT690" s="109"/>
      <c r="AU690" s="109"/>
      <c r="AV690" s="109"/>
      <c r="AW690" s="109"/>
      <c r="AX690" s="109"/>
      <c r="AY690" s="109"/>
      <c r="AZ690" s="109"/>
      <c r="BA690" s="109"/>
      <c r="BB690" s="109"/>
      <c r="BC690" s="109"/>
    </row>
    <row r="691" spans="1:55" x14ac:dyDescent="0.2">
      <c r="A691" s="109"/>
      <c r="B691" s="109"/>
      <c r="C691" s="109"/>
      <c r="D691" s="109"/>
      <c r="E691" s="109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  <c r="AA691" s="109"/>
      <c r="AB691" s="109"/>
      <c r="AC691" s="109"/>
      <c r="AD691" s="109"/>
      <c r="AE691" s="109"/>
      <c r="AF691" s="109"/>
      <c r="AG691" s="109"/>
      <c r="AH691" s="109"/>
      <c r="AI691" s="109"/>
      <c r="AJ691" s="109"/>
      <c r="AK691" s="109"/>
      <c r="AL691" s="109"/>
      <c r="AM691" s="109"/>
      <c r="AN691" s="109"/>
      <c r="AO691" s="109"/>
      <c r="AP691" s="109"/>
      <c r="AQ691" s="109"/>
      <c r="AR691" s="109"/>
      <c r="AS691" s="109"/>
      <c r="AT691" s="109"/>
      <c r="AU691" s="109"/>
      <c r="AV691" s="109"/>
      <c r="AW691" s="109"/>
      <c r="AX691" s="109"/>
      <c r="AY691" s="109"/>
      <c r="AZ691" s="109"/>
      <c r="BA691" s="109"/>
      <c r="BB691" s="109"/>
      <c r="BC691" s="109"/>
    </row>
    <row r="692" spans="1:55" x14ac:dyDescent="0.2">
      <c r="A692" s="109"/>
      <c r="B692" s="109"/>
      <c r="C692" s="109"/>
      <c r="D692" s="109"/>
      <c r="E692" s="109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  <c r="AA692" s="109"/>
      <c r="AB692" s="109"/>
      <c r="AC692" s="109"/>
      <c r="AD692" s="109"/>
      <c r="AE692" s="109"/>
      <c r="AF692" s="109"/>
      <c r="AG692" s="109"/>
      <c r="AH692" s="109"/>
      <c r="AI692" s="109"/>
      <c r="AJ692" s="109"/>
      <c r="AK692" s="109"/>
      <c r="AL692" s="109"/>
      <c r="AM692" s="109"/>
      <c r="AN692" s="109"/>
      <c r="AO692" s="109"/>
      <c r="AP692" s="109"/>
      <c r="AQ692" s="109"/>
      <c r="AR692" s="109"/>
      <c r="AS692" s="109"/>
      <c r="AT692" s="109"/>
      <c r="AU692" s="109"/>
      <c r="AV692" s="109"/>
      <c r="AW692" s="109"/>
      <c r="AX692" s="109"/>
      <c r="AY692" s="109"/>
      <c r="AZ692" s="109"/>
      <c r="BA692" s="109"/>
      <c r="BB692" s="109"/>
      <c r="BC692" s="109"/>
    </row>
    <row r="693" spans="1:55" x14ac:dyDescent="0.2">
      <c r="A693" s="109"/>
      <c r="B693" s="109"/>
      <c r="C693" s="109"/>
      <c r="D693" s="109"/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  <c r="AH693" s="109"/>
      <c r="AI693" s="109"/>
      <c r="AJ693" s="109"/>
      <c r="AK693" s="109"/>
      <c r="AL693" s="109"/>
      <c r="AM693" s="109"/>
      <c r="AN693" s="109"/>
      <c r="AO693" s="109"/>
      <c r="AP693" s="109"/>
      <c r="AQ693" s="109"/>
      <c r="AR693" s="109"/>
      <c r="AS693" s="109"/>
      <c r="AT693" s="109"/>
      <c r="AU693" s="109"/>
      <c r="AV693" s="109"/>
      <c r="AW693" s="109"/>
      <c r="AX693" s="109"/>
      <c r="AY693" s="109"/>
      <c r="AZ693" s="109"/>
      <c r="BA693" s="109"/>
      <c r="BB693" s="109"/>
      <c r="BC693" s="109"/>
    </row>
    <row r="694" spans="1:55" x14ac:dyDescent="0.2">
      <c r="A694" s="109"/>
      <c r="B694" s="109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  <c r="AD694" s="109"/>
      <c r="AE694" s="109"/>
      <c r="AF694" s="109"/>
      <c r="AG694" s="109"/>
      <c r="AH694" s="109"/>
      <c r="AI694" s="109"/>
      <c r="AJ694" s="109"/>
      <c r="AK694" s="109"/>
      <c r="AL694" s="109"/>
      <c r="AM694" s="109"/>
      <c r="AN694" s="109"/>
      <c r="AO694" s="109"/>
      <c r="AP694" s="109"/>
      <c r="AQ694" s="109"/>
      <c r="AR694" s="109"/>
      <c r="AS694" s="109"/>
      <c r="AT694" s="109"/>
      <c r="AU694" s="109"/>
      <c r="AV694" s="109"/>
      <c r="AW694" s="109"/>
      <c r="AX694" s="109"/>
      <c r="AY694" s="109"/>
      <c r="AZ694" s="109"/>
      <c r="BA694" s="109"/>
      <c r="BB694" s="109"/>
      <c r="BC694" s="109"/>
    </row>
    <row r="695" spans="1:55" x14ac:dyDescent="0.2">
      <c r="A695" s="109"/>
      <c r="B695" s="109"/>
      <c r="C695" s="109"/>
      <c r="D695" s="109"/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  <c r="AH695" s="109"/>
      <c r="AI695" s="109"/>
      <c r="AJ695" s="109"/>
      <c r="AK695" s="109"/>
      <c r="AL695" s="109"/>
      <c r="AM695" s="109"/>
      <c r="AN695" s="109"/>
      <c r="AO695" s="109"/>
      <c r="AP695" s="109"/>
      <c r="AQ695" s="109"/>
      <c r="AR695" s="109"/>
      <c r="AS695" s="109"/>
      <c r="AT695" s="109"/>
      <c r="AU695" s="109"/>
      <c r="AV695" s="109"/>
      <c r="AW695" s="109"/>
      <c r="AX695" s="109"/>
      <c r="AY695" s="109"/>
      <c r="AZ695" s="109"/>
      <c r="BA695" s="109"/>
      <c r="BB695" s="109"/>
      <c r="BC695" s="109"/>
    </row>
    <row r="696" spans="1:55" x14ac:dyDescent="0.2">
      <c r="A696" s="109"/>
      <c r="B696" s="109"/>
      <c r="C696" s="109"/>
      <c r="D696" s="109"/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  <c r="AH696" s="109"/>
      <c r="AI696" s="109"/>
      <c r="AJ696" s="109"/>
      <c r="AK696" s="109"/>
      <c r="AL696" s="109"/>
      <c r="AM696" s="109"/>
      <c r="AN696" s="109"/>
      <c r="AO696" s="109"/>
      <c r="AP696" s="109"/>
      <c r="AQ696" s="109"/>
      <c r="AR696" s="109"/>
      <c r="AS696" s="109"/>
      <c r="AT696" s="109"/>
      <c r="AU696" s="109"/>
      <c r="AV696" s="109"/>
      <c r="AW696" s="109"/>
      <c r="AX696" s="109"/>
      <c r="AY696" s="109"/>
      <c r="AZ696" s="109"/>
      <c r="BA696" s="109"/>
      <c r="BB696" s="109"/>
      <c r="BC696" s="109"/>
    </row>
    <row r="697" spans="1:55" x14ac:dyDescent="0.2">
      <c r="A697" s="109"/>
      <c r="B697" s="109"/>
      <c r="C697" s="109"/>
      <c r="D697" s="109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  <c r="AA697" s="109"/>
      <c r="AB697" s="109"/>
      <c r="AC697" s="109"/>
      <c r="AD697" s="109"/>
      <c r="AE697" s="109"/>
      <c r="AF697" s="109"/>
      <c r="AG697" s="109"/>
      <c r="AH697" s="109"/>
      <c r="AI697" s="109"/>
      <c r="AJ697" s="109"/>
      <c r="AK697" s="109"/>
      <c r="AL697" s="109"/>
      <c r="AM697" s="109"/>
      <c r="AN697" s="109"/>
      <c r="AO697" s="109"/>
      <c r="AP697" s="109"/>
      <c r="AQ697" s="109"/>
      <c r="AR697" s="109"/>
      <c r="AS697" s="109"/>
      <c r="AT697" s="109"/>
      <c r="AU697" s="109"/>
      <c r="AV697" s="109"/>
      <c r="AW697" s="109"/>
      <c r="AX697" s="109"/>
      <c r="AY697" s="109"/>
      <c r="AZ697" s="109"/>
      <c r="BA697" s="109"/>
      <c r="BB697" s="109"/>
      <c r="BC697" s="109"/>
    </row>
    <row r="698" spans="1:55" x14ac:dyDescent="0.2">
      <c r="A698" s="109"/>
      <c r="B698" s="109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  <c r="AA698" s="109"/>
      <c r="AB698" s="109"/>
      <c r="AC698" s="109"/>
      <c r="AD698" s="109"/>
      <c r="AE698" s="109"/>
      <c r="AF698" s="109"/>
      <c r="AG698" s="109"/>
      <c r="AH698" s="109"/>
      <c r="AI698" s="109"/>
      <c r="AJ698" s="109"/>
      <c r="AK698" s="109"/>
      <c r="AL698" s="109"/>
      <c r="AM698" s="109"/>
      <c r="AN698" s="109"/>
      <c r="AO698" s="109"/>
      <c r="AP698" s="109"/>
      <c r="AQ698" s="109"/>
      <c r="AR698" s="109"/>
      <c r="AS698" s="109"/>
      <c r="AT698" s="109"/>
      <c r="AU698" s="109"/>
      <c r="AV698" s="109"/>
      <c r="AW698" s="109"/>
      <c r="AX698" s="109"/>
      <c r="AY698" s="109"/>
      <c r="AZ698" s="109"/>
      <c r="BA698" s="109"/>
      <c r="BB698" s="109"/>
      <c r="BC698" s="109"/>
    </row>
    <row r="699" spans="1:55" x14ac:dyDescent="0.2">
      <c r="A699" s="109"/>
      <c r="B699" s="109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  <c r="AA699" s="109"/>
      <c r="AB699" s="109"/>
      <c r="AC699" s="109"/>
      <c r="AD699" s="109"/>
      <c r="AE699" s="109"/>
      <c r="AF699" s="109"/>
      <c r="AG699" s="109"/>
      <c r="AH699" s="109"/>
      <c r="AI699" s="109"/>
      <c r="AJ699" s="109"/>
      <c r="AK699" s="109"/>
      <c r="AL699" s="109"/>
      <c r="AM699" s="109"/>
      <c r="AN699" s="109"/>
      <c r="AO699" s="109"/>
      <c r="AP699" s="109"/>
      <c r="AQ699" s="109"/>
      <c r="AR699" s="109"/>
      <c r="AS699" s="109"/>
      <c r="AT699" s="109"/>
      <c r="AU699" s="109"/>
      <c r="AV699" s="109"/>
      <c r="AW699" s="109"/>
      <c r="AX699" s="109"/>
      <c r="AY699" s="109"/>
      <c r="AZ699" s="109"/>
      <c r="BA699" s="109"/>
      <c r="BB699" s="109"/>
      <c r="BC699" s="109"/>
    </row>
    <row r="700" spans="1:55" x14ac:dyDescent="0.2">
      <c r="A700" s="109"/>
      <c r="B700" s="109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  <c r="AD700" s="109"/>
      <c r="AE700" s="109"/>
      <c r="AF700" s="109"/>
      <c r="AG700" s="109"/>
      <c r="AH700" s="109"/>
      <c r="AI700" s="109"/>
      <c r="AJ700" s="109"/>
      <c r="AK700" s="109"/>
      <c r="AL700" s="109"/>
      <c r="AM700" s="109"/>
      <c r="AN700" s="109"/>
      <c r="AO700" s="109"/>
      <c r="AP700" s="109"/>
      <c r="AQ700" s="109"/>
      <c r="AR700" s="109"/>
      <c r="AS700" s="109"/>
      <c r="AT700" s="109"/>
      <c r="AU700" s="109"/>
      <c r="AV700" s="109"/>
      <c r="AW700" s="109"/>
      <c r="AX700" s="109"/>
      <c r="AY700" s="109"/>
      <c r="AZ700" s="109"/>
      <c r="BA700" s="109"/>
      <c r="BB700" s="109"/>
      <c r="BC700" s="109"/>
    </row>
    <row r="701" spans="1:55" x14ac:dyDescent="0.2">
      <c r="A701" s="109"/>
      <c r="B701" s="109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  <c r="AA701" s="109"/>
      <c r="AB701" s="109"/>
      <c r="AC701" s="109"/>
      <c r="AD701" s="109"/>
      <c r="AE701" s="109"/>
      <c r="AF701" s="109"/>
      <c r="AG701" s="109"/>
      <c r="AH701" s="109"/>
      <c r="AI701" s="109"/>
      <c r="AJ701" s="109"/>
      <c r="AK701" s="109"/>
      <c r="AL701" s="109"/>
      <c r="AM701" s="109"/>
      <c r="AN701" s="109"/>
      <c r="AO701" s="109"/>
      <c r="AP701" s="109"/>
      <c r="AQ701" s="109"/>
      <c r="AR701" s="109"/>
      <c r="AS701" s="109"/>
      <c r="AT701" s="109"/>
      <c r="AU701" s="109"/>
      <c r="AV701" s="109"/>
      <c r="AW701" s="109"/>
      <c r="AX701" s="109"/>
      <c r="AY701" s="109"/>
      <c r="AZ701" s="109"/>
      <c r="BA701" s="109"/>
      <c r="BB701" s="109"/>
      <c r="BC701" s="109"/>
    </row>
    <row r="702" spans="1:55" x14ac:dyDescent="0.2">
      <c r="A702" s="109"/>
      <c r="B702" s="109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  <c r="AA702" s="109"/>
      <c r="AB702" s="109"/>
      <c r="AC702" s="109"/>
      <c r="AD702" s="109"/>
      <c r="AE702" s="109"/>
      <c r="AF702" s="109"/>
      <c r="AG702" s="109"/>
      <c r="AH702" s="109"/>
      <c r="AI702" s="109"/>
      <c r="AJ702" s="109"/>
      <c r="AK702" s="109"/>
      <c r="AL702" s="109"/>
      <c r="AM702" s="109"/>
      <c r="AN702" s="109"/>
      <c r="AO702" s="109"/>
      <c r="AP702" s="109"/>
      <c r="AQ702" s="109"/>
      <c r="AR702" s="109"/>
      <c r="AS702" s="109"/>
      <c r="AT702" s="109"/>
      <c r="AU702" s="109"/>
      <c r="AV702" s="109"/>
      <c r="AW702" s="109"/>
      <c r="AX702" s="109"/>
      <c r="AY702" s="109"/>
      <c r="AZ702" s="109"/>
      <c r="BA702" s="109"/>
      <c r="BB702" s="109"/>
      <c r="BC702" s="109"/>
    </row>
    <row r="703" spans="1:55" x14ac:dyDescent="0.2">
      <c r="A703" s="109"/>
      <c r="B703" s="109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  <c r="AA703" s="109"/>
      <c r="AB703" s="109"/>
      <c r="AC703" s="109"/>
      <c r="AD703" s="109"/>
      <c r="AE703" s="109"/>
      <c r="AF703" s="109"/>
      <c r="AG703" s="109"/>
      <c r="AH703" s="109"/>
      <c r="AI703" s="109"/>
      <c r="AJ703" s="109"/>
      <c r="AK703" s="109"/>
      <c r="AL703" s="109"/>
      <c r="AM703" s="109"/>
      <c r="AN703" s="109"/>
      <c r="AO703" s="109"/>
      <c r="AP703" s="109"/>
      <c r="AQ703" s="109"/>
      <c r="AR703" s="109"/>
      <c r="AS703" s="109"/>
      <c r="AT703" s="109"/>
      <c r="AU703" s="109"/>
      <c r="AV703" s="109"/>
      <c r="AW703" s="109"/>
      <c r="AX703" s="109"/>
      <c r="AY703" s="109"/>
      <c r="AZ703" s="109"/>
      <c r="BA703" s="109"/>
      <c r="BB703" s="109"/>
      <c r="BC703" s="109"/>
    </row>
    <row r="704" spans="1:55" x14ac:dyDescent="0.2">
      <c r="A704" s="109"/>
      <c r="B704" s="109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  <c r="AA704" s="109"/>
      <c r="AB704" s="109"/>
      <c r="AC704" s="109"/>
      <c r="AD704" s="109"/>
      <c r="AE704" s="109"/>
      <c r="AF704" s="109"/>
      <c r="AG704" s="109"/>
      <c r="AH704" s="109"/>
      <c r="AI704" s="109"/>
      <c r="AJ704" s="109"/>
      <c r="AK704" s="109"/>
      <c r="AL704" s="109"/>
      <c r="AM704" s="109"/>
      <c r="AN704" s="109"/>
      <c r="AO704" s="109"/>
      <c r="AP704" s="109"/>
      <c r="AQ704" s="109"/>
      <c r="AR704" s="109"/>
      <c r="AS704" s="109"/>
      <c r="AT704" s="109"/>
      <c r="AU704" s="109"/>
      <c r="AV704" s="109"/>
      <c r="AW704" s="109"/>
      <c r="AX704" s="109"/>
      <c r="AY704" s="109"/>
      <c r="AZ704" s="109"/>
      <c r="BA704" s="109"/>
      <c r="BB704" s="109"/>
      <c r="BC704" s="109"/>
    </row>
    <row r="705" spans="1:55" x14ac:dyDescent="0.2">
      <c r="A705" s="109"/>
      <c r="B705" s="109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  <c r="AA705" s="109"/>
      <c r="AB705" s="109"/>
      <c r="AC705" s="109"/>
      <c r="AD705" s="109"/>
      <c r="AE705" s="109"/>
      <c r="AF705" s="109"/>
      <c r="AG705" s="109"/>
      <c r="AH705" s="109"/>
      <c r="AI705" s="109"/>
      <c r="AJ705" s="109"/>
      <c r="AK705" s="109"/>
      <c r="AL705" s="109"/>
      <c r="AM705" s="109"/>
      <c r="AN705" s="109"/>
      <c r="AO705" s="109"/>
      <c r="AP705" s="109"/>
      <c r="AQ705" s="109"/>
      <c r="AR705" s="109"/>
      <c r="AS705" s="109"/>
      <c r="AT705" s="109"/>
      <c r="AU705" s="109"/>
      <c r="AV705" s="109"/>
      <c r="AW705" s="109"/>
      <c r="AX705" s="109"/>
      <c r="AY705" s="109"/>
      <c r="AZ705" s="109"/>
      <c r="BA705" s="109"/>
      <c r="BB705" s="109"/>
      <c r="BC705" s="109"/>
    </row>
    <row r="706" spans="1:55" x14ac:dyDescent="0.2">
      <c r="A706" s="109"/>
      <c r="B706" s="109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  <c r="AA706" s="109"/>
      <c r="AB706" s="109"/>
      <c r="AC706" s="109"/>
      <c r="AD706" s="109"/>
      <c r="AE706" s="109"/>
      <c r="AF706" s="109"/>
      <c r="AG706" s="109"/>
      <c r="AH706" s="109"/>
      <c r="AI706" s="109"/>
      <c r="AJ706" s="109"/>
      <c r="AK706" s="109"/>
      <c r="AL706" s="109"/>
      <c r="AM706" s="109"/>
      <c r="AN706" s="109"/>
      <c r="AO706" s="109"/>
      <c r="AP706" s="109"/>
      <c r="AQ706" s="109"/>
      <c r="AR706" s="109"/>
      <c r="AS706" s="109"/>
      <c r="AT706" s="109"/>
      <c r="AU706" s="109"/>
      <c r="AV706" s="109"/>
      <c r="AW706" s="109"/>
      <c r="AX706" s="109"/>
      <c r="AY706" s="109"/>
      <c r="AZ706" s="109"/>
      <c r="BA706" s="109"/>
      <c r="BB706" s="109"/>
      <c r="BC706" s="109"/>
    </row>
    <row r="707" spans="1:55" x14ac:dyDescent="0.2">
      <c r="A707" s="109"/>
      <c r="B707" s="109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/>
      <c r="AD707" s="109"/>
      <c r="AE707" s="109"/>
      <c r="AF707" s="109"/>
      <c r="AG707" s="109"/>
      <c r="AH707" s="109"/>
      <c r="AI707" s="109"/>
      <c r="AJ707" s="109"/>
      <c r="AK707" s="109"/>
      <c r="AL707" s="109"/>
      <c r="AM707" s="109"/>
      <c r="AN707" s="109"/>
      <c r="AO707" s="109"/>
      <c r="AP707" s="109"/>
      <c r="AQ707" s="109"/>
      <c r="AR707" s="109"/>
      <c r="AS707" s="109"/>
      <c r="AT707" s="109"/>
      <c r="AU707" s="109"/>
      <c r="AV707" s="109"/>
      <c r="AW707" s="109"/>
      <c r="AX707" s="109"/>
      <c r="AY707" s="109"/>
      <c r="AZ707" s="109"/>
      <c r="BA707" s="109"/>
      <c r="BB707" s="109"/>
      <c r="BC707" s="109"/>
    </row>
    <row r="708" spans="1:55" x14ac:dyDescent="0.2">
      <c r="A708" s="109"/>
      <c r="B708" s="109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  <c r="AA708" s="109"/>
      <c r="AB708" s="109"/>
      <c r="AC708" s="109"/>
      <c r="AD708" s="109"/>
      <c r="AE708" s="109"/>
      <c r="AF708" s="109"/>
      <c r="AG708" s="109"/>
      <c r="AH708" s="109"/>
      <c r="AI708" s="109"/>
      <c r="AJ708" s="109"/>
      <c r="AK708" s="109"/>
      <c r="AL708" s="109"/>
      <c r="AM708" s="109"/>
      <c r="AN708" s="109"/>
      <c r="AO708" s="109"/>
      <c r="AP708" s="109"/>
      <c r="AQ708" s="109"/>
      <c r="AR708" s="109"/>
      <c r="AS708" s="109"/>
      <c r="AT708" s="109"/>
      <c r="AU708" s="109"/>
      <c r="AV708" s="109"/>
      <c r="AW708" s="109"/>
      <c r="AX708" s="109"/>
      <c r="AY708" s="109"/>
      <c r="AZ708" s="109"/>
      <c r="BA708" s="109"/>
      <c r="BB708" s="109"/>
      <c r="BC708" s="109"/>
    </row>
    <row r="709" spans="1:55" x14ac:dyDescent="0.2">
      <c r="A709" s="109"/>
      <c r="B709" s="109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  <c r="AA709" s="109"/>
      <c r="AB709" s="109"/>
      <c r="AC709" s="109"/>
      <c r="AD709" s="109"/>
      <c r="AE709" s="109"/>
      <c r="AF709" s="109"/>
      <c r="AG709" s="109"/>
      <c r="AH709" s="109"/>
      <c r="AI709" s="109"/>
      <c r="AJ709" s="109"/>
      <c r="AK709" s="109"/>
      <c r="AL709" s="109"/>
      <c r="AM709" s="109"/>
      <c r="AN709" s="109"/>
      <c r="AO709" s="109"/>
      <c r="AP709" s="109"/>
      <c r="AQ709" s="109"/>
      <c r="AR709" s="109"/>
      <c r="AS709" s="109"/>
      <c r="AT709" s="109"/>
      <c r="AU709" s="109"/>
      <c r="AV709" s="109"/>
      <c r="AW709" s="109"/>
      <c r="AX709" s="109"/>
      <c r="AY709" s="109"/>
      <c r="AZ709" s="109"/>
      <c r="BA709" s="109"/>
      <c r="BB709" s="109"/>
      <c r="BC709" s="109"/>
    </row>
    <row r="710" spans="1:55" x14ac:dyDescent="0.2">
      <c r="A710" s="109"/>
      <c r="B710" s="109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  <c r="AA710" s="109"/>
      <c r="AB710" s="109"/>
      <c r="AC710" s="109"/>
      <c r="AD710" s="109"/>
      <c r="AE710" s="109"/>
      <c r="AF710" s="109"/>
      <c r="AG710" s="109"/>
      <c r="AH710" s="109"/>
      <c r="AI710" s="109"/>
      <c r="AJ710" s="109"/>
      <c r="AK710" s="109"/>
      <c r="AL710" s="109"/>
      <c r="AM710" s="109"/>
      <c r="AN710" s="109"/>
      <c r="AO710" s="109"/>
      <c r="AP710" s="109"/>
      <c r="AQ710" s="109"/>
      <c r="AR710" s="109"/>
      <c r="AS710" s="109"/>
      <c r="AT710" s="109"/>
      <c r="AU710" s="109"/>
      <c r="AV710" s="109"/>
      <c r="AW710" s="109"/>
      <c r="AX710" s="109"/>
      <c r="AY710" s="109"/>
      <c r="AZ710" s="109"/>
      <c r="BA710" s="109"/>
      <c r="BB710" s="109"/>
      <c r="BC710" s="109"/>
    </row>
    <row r="711" spans="1:55" x14ac:dyDescent="0.2">
      <c r="A711" s="109"/>
      <c r="B711" s="109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  <c r="AA711" s="109"/>
      <c r="AB711" s="109"/>
      <c r="AC711" s="109"/>
      <c r="AD711" s="109"/>
      <c r="AE711" s="109"/>
      <c r="AF711" s="109"/>
      <c r="AG711" s="109"/>
      <c r="AH711" s="109"/>
      <c r="AI711" s="109"/>
      <c r="AJ711" s="109"/>
      <c r="AK711" s="109"/>
      <c r="AL711" s="109"/>
      <c r="AM711" s="109"/>
      <c r="AN711" s="109"/>
      <c r="AO711" s="109"/>
      <c r="AP711" s="109"/>
      <c r="AQ711" s="109"/>
      <c r="AR711" s="109"/>
      <c r="AS711" s="109"/>
      <c r="AT711" s="109"/>
      <c r="AU711" s="109"/>
      <c r="AV711" s="109"/>
      <c r="AW711" s="109"/>
      <c r="AX711" s="109"/>
      <c r="AY711" s="109"/>
      <c r="AZ711" s="109"/>
      <c r="BA711" s="109"/>
      <c r="BB711" s="109"/>
      <c r="BC711" s="109"/>
    </row>
    <row r="712" spans="1:55" x14ac:dyDescent="0.2">
      <c r="A712" s="109"/>
      <c r="B712" s="109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  <c r="AA712" s="109"/>
      <c r="AB712" s="109"/>
      <c r="AC712" s="109"/>
      <c r="AD712" s="109"/>
      <c r="AE712" s="109"/>
      <c r="AF712" s="109"/>
      <c r="AG712" s="109"/>
      <c r="AH712" s="109"/>
      <c r="AI712" s="109"/>
      <c r="AJ712" s="109"/>
      <c r="AK712" s="109"/>
      <c r="AL712" s="109"/>
      <c r="AM712" s="109"/>
      <c r="AN712" s="109"/>
      <c r="AO712" s="109"/>
      <c r="AP712" s="109"/>
      <c r="AQ712" s="109"/>
      <c r="AR712" s="109"/>
      <c r="AS712" s="109"/>
      <c r="AT712" s="109"/>
      <c r="AU712" s="109"/>
      <c r="AV712" s="109"/>
      <c r="AW712" s="109"/>
      <c r="AX712" s="109"/>
      <c r="AY712" s="109"/>
      <c r="AZ712" s="109"/>
      <c r="BA712" s="109"/>
      <c r="BB712" s="109"/>
      <c r="BC712" s="109"/>
    </row>
    <row r="713" spans="1:55" x14ac:dyDescent="0.2">
      <c r="A713" s="109"/>
      <c r="B713" s="109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  <c r="AA713" s="109"/>
      <c r="AB713" s="109"/>
      <c r="AC713" s="109"/>
      <c r="AD713" s="109"/>
      <c r="AE713" s="109"/>
      <c r="AF713" s="109"/>
      <c r="AG713" s="109"/>
      <c r="AH713" s="109"/>
      <c r="AI713" s="109"/>
      <c r="AJ713" s="109"/>
      <c r="AK713" s="109"/>
      <c r="AL713" s="109"/>
      <c r="AM713" s="109"/>
      <c r="AN713" s="109"/>
      <c r="AO713" s="109"/>
      <c r="AP713" s="109"/>
      <c r="AQ713" s="109"/>
      <c r="AR713" s="109"/>
      <c r="AS713" s="109"/>
      <c r="AT713" s="109"/>
      <c r="AU713" s="109"/>
      <c r="AV713" s="109"/>
      <c r="AW713" s="109"/>
      <c r="AX713" s="109"/>
      <c r="AY713" s="109"/>
      <c r="AZ713" s="109"/>
      <c r="BA713" s="109"/>
      <c r="BB713" s="109"/>
      <c r="BC713" s="109"/>
    </row>
    <row r="714" spans="1:55" x14ac:dyDescent="0.2">
      <c r="A714" s="109"/>
      <c r="B714" s="109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  <c r="AA714" s="109"/>
      <c r="AB714" s="109"/>
      <c r="AC714" s="109"/>
      <c r="AD714" s="109"/>
      <c r="AE714" s="109"/>
      <c r="AF714" s="109"/>
      <c r="AG714" s="109"/>
      <c r="AH714" s="109"/>
      <c r="AI714" s="109"/>
      <c r="AJ714" s="109"/>
      <c r="AK714" s="109"/>
      <c r="AL714" s="109"/>
      <c r="AM714" s="109"/>
      <c r="AN714" s="109"/>
      <c r="AO714" s="109"/>
      <c r="AP714" s="109"/>
      <c r="AQ714" s="109"/>
      <c r="AR714" s="109"/>
      <c r="AS714" s="109"/>
      <c r="AT714" s="109"/>
      <c r="AU714" s="109"/>
      <c r="AV714" s="109"/>
      <c r="AW714" s="109"/>
      <c r="AX714" s="109"/>
      <c r="AY714" s="109"/>
      <c r="AZ714" s="109"/>
      <c r="BA714" s="109"/>
      <c r="BB714" s="109"/>
      <c r="BC714" s="109"/>
    </row>
    <row r="715" spans="1:55" x14ac:dyDescent="0.2">
      <c r="A715" s="109"/>
      <c r="B715" s="109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  <c r="AT715" s="109"/>
      <c r="AU715" s="109"/>
      <c r="AV715" s="109"/>
      <c r="AW715" s="109"/>
      <c r="AX715" s="109"/>
      <c r="AY715" s="109"/>
      <c r="AZ715" s="109"/>
      <c r="BA715" s="109"/>
      <c r="BB715" s="109"/>
      <c r="BC715" s="109"/>
    </row>
    <row r="716" spans="1:55" x14ac:dyDescent="0.2">
      <c r="A716" s="109"/>
      <c r="B716" s="109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  <c r="AA716" s="109"/>
      <c r="AB716" s="109"/>
      <c r="AC716" s="109"/>
      <c r="AD716" s="109"/>
      <c r="AE716" s="109"/>
      <c r="AF716" s="109"/>
      <c r="AG716" s="109"/>
      <c r="AH716" s="109"/>
      <c r="AI716" s="109"/>
      <c r="AJ716" s="109"/>
      <c r="AK716" s="109"/>
      <c r="AL716" s="109"/>
      <c r="AM716" s="109"/>
      <c r="AN716" s="109"/>
      <c r="AO716" s="109"/>
      <c r="AP716" s="109"/>
      <c r="AQ716" s="109"/>
      <c r="AR716" s="109"/>
      <c r="AS716" s="109"/>
      <c r="AT716" s="109"/>
      <c r="AU716" s="109"/>
      <c r="AV716" s="109"/>
      <c r="AW716" s="109"/>
      <c r="AX716" s="109"/>
      <c r="AY716" s="109"/>
      <c r="AZ716" s="109"/>
      <c r="BA716" s="109"/>
      <c r="BB716" s="109"/>
      <c r="BC716" s="109"/>
    </row>
    <row r="717" spans="1:55" x14ac:dyDescent="0.2">
      <c r="A717" s="109"/>
      <c r="B717" s="109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  <c r="AA717" s="109"/>
      <c r="AB717" s="109"/>
      <c r="AC717" s="109"/>
      <c r="AD717" s="109"/>
      <c r="AE717" s="109"/>
      <c r="AF717" s="109"/>
      <c r="AG717" s="109"/>
      <c r="AH717" s="109"/>
      <c r="AI717" s="109"/>
      <c r="AJ717" s="109"/>
      <c r="AK717" s="109"/>
      <c r="AL717" s="109"/>
      <c r="AM717" s="109"/>
      <c r="AN717" s="109"/>
      <c r="AO717" s="109"/>
      <c r="AP717" s="109"/>
      <c r="AQ717" s="109"/>
      <c r="AR717" s="109"/>
      <c r="AS717" s="109"/>
      <c r="AT717" s="109"/>
      <c r="AU717" s="109"/>
      <c r="AV717" s="109"/>
      <c r="AW717" s="109"/>
      <c r="AX717" s="109"/>
      <c r="AY717" s="109"/>
      <c r="AZ717" s="109"/>
      <c r="BA717" s="109"/>
      <c r="BB717" s="109"/>
      <c r="BC717" s="109"/>
    </row>
    <row r="718" spans="1:55" x14ac:dyDescent="0.2">
      <c r="A718" s="109"/>
      <c r="B718" s="109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  <c r="AA718" s="109"/>
      <c r="AB718" s="109"/>
      <c r="AC718" s="109"/>
      <c r="AD718" s="109"/>
      <c r="AE718" s="109"/>
      <c r="AF718" s="109"/>
      <c r="AG718" s="109"/>
      <c r="AH718" s="109"/>
      <c r="AI718" s="109"/>
      <c r="AJ718" s="109"/>
      <c r="AK718" s="109"/>
      <c r="AL718" s="109"/>
      <c r="AM718" s="109"/>
      <c r="AN718" s="109"/>
      <c r="AO718" s="109"/>
      <c r="AP718" s="109"/>
      <c r="AQ718" s="109"/>
      <c r="AR718" s="109"/>
      <c r="AS718" s="109"/>
      <c r="AT718" s="109"/>
      <c r="AU718" s="109"/>
      <c r="AV718" s="109"/>
      <c r="AW718" s="109"/>
      <c r="AX718" s="109"/>
      <c r="AY718" s="109"/>
      <c r="AZ718" s="109"/>
      <c r="BA718" s="109"/>
      <c r="BB718" s="109"/>
      <c r="BC718" s="109"/>
    </row>
    <row r="719" spans="1:55" x14ac:dyDescent="0.2">
      <c r="A719" s="109"/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  <c r="AA719" s="109"/>
      <c r="AB719" s="109"/>
      <c r="AC719" s="109"/>
      <c r="AD719" s="109"/>
      <c r="AE719" s="109"/>
      <c r="AF719" s="109"/>
      <c r="AG719" s="109"/>
      <c r="AH719" s="109"/>
      <c r="AI719" s="109"/>
      <c r="AJ719" s="109"/>
      <c r="AK719" s="109"/>
      <c r="AL719" s="109"/>
      <c r="AM719" s="109"/>
      <c r="AN719" s="109"/>
      <c r="AO719" s="109"/>
      <c r="AP719" s="109"/>
      <c r="AQ719" s="109"/>
      <c r="AR719" s="109"/>
      <c r="AS719" s="109"/>
      <c r="AT719" s="109"/>
      <c r="AU719" s="109"/>
      <c r="AV719" s="109"/>
      <c r="AW719" s="109"/>
      <c r="AX719" s="109"/>
      <c r="AY719" s="109"/>
      <c r="AZ719" s="109"/>
      <c r="BA719" s="109"/>
      <c r="BB719" s="109"/>
      <c r="BC719" s="109"/>
    </row>
    <row r="720" spans="1:55" x14ac:dyDescent="0.2">
      <c r="A720" s="109"/>
      <c r="B720" s="109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  <c r="AA720" s="109"/>
      <c r="AB720" s="109"/>
      <c r="AC720" s="109"/>
      <c r="AD720" s="109"/>
      <c r="AE720" s="109"/>
      <c r="AF720" s="109"/>
      <c r="AG720" s="109"/>
      <c r="AH720" s="109"/>
      <c r="AI720" s="109"/>
      <c r="AJ720" s="109"/>
      <c r="AK720" s="109"/>
      <c r="AL720" s="109"/>
      <c r="AM720" s="109"/>
      <c r="AN720" s="109"/>
      <c r="AO720" s="109"/>
      <c r="AP720" s="109"/>
      <c r="AQ720" s="109"/>
      <c r="AR720" s="109"/>
      <c r="AS720" s="109"/>
      <c r="AT720" s="109"/>
      <c r="AU720" s="109"/>
      <c r="AV720" s="109"/>
      <c r="AW720" s="109"/>
      <c r="AX720" s="109"/>
      <c r="AY720" s="109"/>
      <c r="AZ720" s="109"/>
      <c r="BA720" s="109"/>
      <c r="BB720" s="109"/>
      <c r="BC720" s="109"/>
    </row>
    <row r="721" spans="1:55" x14ac:dyDescent="0.2">
      <c r="A721" s="109"/>
      <c r="B721" s="109"/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  <c r="AA721" s="109"/>
      <c r="AB721" s="109"/>
      <c r="AC721" s="109"/>
      <c r="AD721" s="109"/>
      <c r="AE721" s="109"/>
      <c r="AF721" s="109"/>
      <c r="AG721" s="109"/>
      <c r="AH721" s="109"/>
      <c r="AI721" s="109"/>
      <c r="AJ721" s="109"/>
      <c r="AK721" s="109"/>
      <c r="AL721" s="109"/>
      <c r="AM721" s="109"/>
      <c r="AN721" s="109"/>
      <c r="AO721" s="109"/>
      <c r="AP721" s="109"/>
      <c r="AQ721" s="109"/>
      <c r="AR721" s="109"/>
      <c r="AS721" s="109"/>
      <c r="AT721" s="109"/>
      <c r="AU721" s="109"/>
      <c r="AV721" s="109"/>
      <c r="AW721" s="109"/>
      <c r="AX721" s="109"/>
      <c r="AY721" s="109"/>
      <c r="AZ721" s="109"/>
      <c r="BA721" s="109"/>
      <c r="BB721" s="109"/>
      <c r="BC721" s="109"/>
    </row>
    <row r="722" spans="1:55" x14ac:dyDescent="0.2">
      <c r="A722" s="109"/>
      <c r="B722" s="109"/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  <c r="AA722" s="109"/>
      <c r="AB722" s="109"/>
      <c r="AC722" s="109"/>
      <c r="AD722" s="109"/>
      <c r="AE722" s="109"/>
      <c r="AF722" s="109"/>
      <c r="AG722" s="109"/>
      <c r="AH722" s="109"/>
      <c r="AI722" s="109"/>
      <c r="AJ722" s="109"/>
      <c r="AK722" s="109"/>
      <c r="AL722" s="109"/>
      <c r="AM722" s="109"/>
      <c r="AN722" s="109"/>
      <c r="AO722" s="109"/>
      <c r="AP722" s="109"/>
      <c r="AQ722" s="109"/>
      <c r="AR722" s="109"/>
      <c r="AS722" s="109"/>
      <c r="AT722" s="109"/>
      <c r="AU722" s="109"/>
      <c r="AV722" s="109"/>
      <c r="AW722" s="109"/>
      <c r="AX722" s="109"/>
      <c r="AY722" s="109"/>
      <c r="AZ722" s="109"/>
      <c r="BA722" s="109"/>
      <c r="BB722" s="109"/>
      <c r="BC722" s="109"/>
    </row>
    <row r="723" spans="1:55" x14ac:dyDescent="0.2">
      <c r="A723" s="109"/>
      <c r="B723" s="109"/>
      <c r="C723" s="109"/>
      <c r="D723" s="109"/>
      <c r="E723" s="109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09"/>
      <c r="AG723" s="109"/>
      <c r="AH723" s="109"/>
      <c r="AI723" s="109"/>
      <c r="AJ723" s="109"/>
      <c r="AK723" s="109"/>
      <c r="AL723" s="109"/>
      <c r="AM723" s="109"/>
      <c r="AN723" s="109"/>
      <c r="AO723" s="109"/>
      <c r="AP723" s="109"/>
      <c r="AQ723" s="109"/>
      <c r="AR723" s="109"/>
      <c r="AS723" s="109"/>
      <c r="AT723" s="109"/>
      <c r="AU723" s="109"/>
      <c r="AV723" s="109"/>
      <c r="AW723" s="109"/>
      <c r="AX723" s="109"/>
      <c r="AY723" s="109"/>
      <c r="AZ723" s="109"/>
      <c r="BA723" s="109"/>
      <c r="BB723" s="109"/>
      <c r="BC723" s="109"/>
    </row>
    <row r="724" spans="1:55" x14ac:dyDescent="0.2">
      <c r="A724" s="109"/>
      <c r="B724" s="109"/>
      <c r="C724" s="109"/>
      <c r="D724" s="109"/>
      <c r="E724" s="109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09"/>
      <c r="AG724" s="109"/>
      <c r="AH724" s="109"/>
      <c r="AI724" s="109"/>
      <c r="AJ724" s="109"/>
      <c r="AK724" s="109"/>
      <c r="AL724" s="109"/>
      <c r="AM724" s="109"/>
      <c r="AN724" s="109"/>
      <c r="AO724" s="109"/>
      <c r="AP724" s="109"/>
      <c r="AQ724" s="109"/>
      <c r="AR724" s="109"/>
      <c r="AS724" s="109"/>
      <c r="AT724" s="109"/>
      <c r="AU724" s="109"/>
      <c r="AV724" s="109"/>
      <c r="AW724" s="109"/>
      <c r="AX724" s="109"/>
      <c r="AY724" s="109"/>
      <c r="AZ724" s="109"/>
      <c r="BA724" s="109"/>
      <c r="BB724" s="109"/>
      <c r="BC724" s="109"/>
    </row>
    <row r="725" spans="1:55" x14ac:dyDescent="0.2">
      <c r="A725" s="109"/>
      <c r="B725" s="109"/>
      <c r="C725" s="109"/>
      <c r="D725" s="109"/>
      <c r="E725" s="109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  <c r="AA725" s="109"/>
      <c r="AB725" s="109"/>
      <c r="AC725" s="109"/>
      <c r="AD725" s="109"/>
      <c r="AE725" s="109"/>
      <c r="AF725" s="109"/>
      <c r="AG725" s="109"/>
      <c r="AH725" s="109"/>
      <c r="AI725" s="109"/>
      <c r="AJ725" s="109"/>
      <c r="AK725" s="109"/>
      <c r="AL725" s="109"/>
      <c r="AM725" s="109"/>
      <c r="AN725" s="109"/>
      <c r="AO725" s="109"/>
      <c r="AP725" s="109"/>
      <c r="AQ725" s="109"/>
      <c r="AR725" s="109"/>
      <c r="AS725" s="109"/>
      <c r="AT725" s="109"/>
      <c r="AU725" s="109"/>
      <c r="AV725" s="109"/>
      <c r="AW725" s="109"/>
      <c r="AX725" s="109"/>
      <c r="AY725" s="109"/>
      <c r="AZ725" s="109"/>
      <c r="BA725" s="109"/>
      <c r="BB725" s="109"/>
      <c r="BC725" s="109"/>
    </row>
    <row r="726" spans="1:55" x14ac:dyDescent="0.2">
      <c r="A726" s="109"/>
      <c r="B726" s="109"/>
      <c r="C726" s="109"/>
      <c r="D726" s="109"/>
      <c r="E726" s="109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  <c r="AA726" s="109"/>
      <c r="AB726" s="109"/>
      <c r="AC726" s="109"/>
      <c r="AD726" s="109"/>
      <c r="AE726" s="109"/>
      <c r="AF726" s="109"/>
      <c r="AG726" s="109"/>
      <c r="AH726" s="109"/>
      <c r="AI726" s="109"/>
      <c r="AJ726" s="109"/>
      <c r="AK726" s="109"/>
      <c r="AL726" s="109"/>
      <c r="AM726" s="109"/>
      <c r="AN726" s="109"/>
      <c r="AO726" s="109"/>
      <c r="AP726" s="109"/>
      <c r="AQ726" s="109"/>
      <c r="AR726" s="109"/>
      <c r="AS726" s="109"/>
      <c r="AT726" s="109"/>
      <c r="AU726" s="109"/>
      <c r="AV726" s="109"/>
      <c r="AW726" s="109"/>
      <c r="AX726" s="109"/>
      <c r="AY726" s="109"/>
      <c r="AZ726" s="109"/>
      <c r="BA726" s="109"/>
      <c r="BB726" s="109"/>
      <c r="BC726" s="109"/>
    </row>
    <row r="727" spans="1:55" x14ac:dyDescent="0.2">
      <c r="A727" s="109"/>
      <c r="B727" s="109"/>
      <c r="C727" s="109"/>
      <c r="D727" s="109"/>
      <c r="E727" s="109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  <c r="AA727" s="109"/>
      <c r="AB727" s="109"/>
      <c r="AC727" s="109"/>
      <c r="AD727" s="109"/>
      <c r="AE727" s="109"/>
      <c r="AF727" s="109"/>
      <c r="AG727" s="109"/>
      <c r="AH727" s="109"/>
      <c r="AI727" s="109"/>
      <c r="AJ727" s="109"/>
      <c r="AK727" s="109"/>
      <c r="AL727" s="109"/>
      <c r="AM727" s="109"/>
      <c r="AN727" s="109"/>
      <c r="AO727" s="109"/>
      <c r="AP727" s="109"/>
      <c r="AQ727" s="109"/>
      <c r="AR727" s="109"/>
      <c r="AS727" s="109"/>
      <c r="AT727" s="109"/>
      <c r="AU727" s="109"/>
      <c r="AV727" s="109"/>
      <c r="AW727" s="109"/>
      <c r="AX727" s="109"/>
      <c r="AY727" s="109"/>
      <c r="AZ727" s="109"/>
      <c r="BA727" s="109"/>
      <c r="BB727" s="109"/>
      <c r="BC727" s="109"/>
    </row>
    <row r="728" spans="1:55" x14ac:dyDescent="0.2">
      <c r="A728" s="109"/>
      <c r="B728" s="109"/>
      <c r="C728" s="109"/>
      <c r="D728" s="109"/>
      <c r="E728" s="109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  <c r="AA728" s="109"/>
      <c r="AB728" s="109"/>
      <c r="AC728" s="109"/>
      <c r="AD728" s="109"/>
      <c r="AE728" s="109"/>
      <c r="AF728" s="109"/>
      <c r="AG728" s="109"/>
      <c r="AH728" s="109"/>
      <c r="AI728" s="109"/>
      <c r="AJ728" s="109"/>
      <c r="AK728" s="109"/>
      <c r="AL728" s="109"/>
      <c r="AM728" s="109"/>
      <c r="AN728" s="109"/>
      <c r="AO728" s="109"/>
      <c r="AP728" s="109"/>
      <c r="AQ728" s="109"/>
      <c r="AR728" s="109"/>
      <c r="AS728" s="109"/>
      <c r="AT728" s="109"/>
      <c r="AU728" s="109"/>
      <c r="AV728" s="109"/>
      <c r="AW728" s="109"/>
      <c r="AX728" s="109"/>
      <c r="AY728" s="109"/>
      <c r="AZ728" s="109"/>
      <c r="BA728" s="109"/>
      <c r="BB728" s="109"/>
      <c r="BC728" s="109"/>
    </row>
    <row r="729" spans="1:55" x14ac:dyDescent="0.2">
      <c r="A729" s="109"/>
      <c r="B729" s="109"/>
      <c r="C729" s="109"/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  <c r="AA729" s="109"/>
      <c r="AB729" s="109"/>
      <c r="AC729" s="109"/>
      <c r="AD729" s="109"/>
      <c r="AE729" s="109"/>
      <c r="AF729" s="109"/>
      <c r="AG729" s="109"/>
      <c r="AH729" s="109"/>
      <c r="AI729" s="109"/>
      <c r="AJ729" s="109"/>
      <c r="AK729" s="109"/>
      <c r="AL729" s="109"/>
      <c r="AM729" s="109"/>
      <c r="AN729" s="109"/>
      <c r="AO729" s="109"/>
      <c r="AP729" s="109"/>
      <c r="AQ729" s="109"/>
      <c r="AR729" s="109"/>
      <c r="AS729" s="109"/>
      <c r="AT729" s="109"/>
      <c r="AU729" s="109"/>
      <c r="AV729" s="109"/>
      <c r="AW729" s="109"/>
      <c r="AX729" s="109"/>
      <c r="AY729" s="109"/>
      <c r="AZ729" s="109"/>
      <c r="BA729" s="109"/>
      <c r="BB729" s="109"/>
      <c r="BC729" s="109"/>
    </row>
    <row r="730" spans="1:55" x14ac:dyDescent="0.2">
      <c r="A730" s="109"/>
      <c r="B730" s="109"/>
      <c r="C730" s="109"/>
      <c r="D730" s="109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  <c r="AA730" s="109"/>
      <c r="AB730" s="109"/>
      <c r="AC730" s="109"/>
      <c r="AD730" s="109"/>
      <c r="AE730" s="109"/>
      <c r="AF730" s="109"/>
      <c r="AG730" s="109"/>
      <c r="AH730" s="109"/>
      <c r="AI730" s="109"/>
      <c r="AJ730" s="109"/>
      <c r="AK730" s="109"/>
      <c r="AL730" s="109"/>
      <c r="AM730" s="109"/>
      <c r="AN730" s="109"/>
      <c r="AO730" s="109"/>
      <c r="AP730" s="109"/>
      <c r="AQ730" s="109"/>
      <c r="AR730" s="109"/>
      <c r="AS730" s="109"/>
      <c r="AT730" s="109"/>
      <c r="AU730" s="109"/>
      <c r="AV730" s="109"/>
      <c r="AW730" s="109"/>
      <c r="AX730" s="109"/>
      <c r="AY730" s="109"/>
      <c r="AZ730" s="109"/>
      <c r="BA730" s="109"/>
      <c r="BB730" s="109"/>
      <c r="BC730" s="109"/>
    </row>
    <row r="731" spans="1:55" x14ac:dyDescent="0.2">
      <c r="A731" s="109"/>
      <c r="B731" s="109"/>
      <c r="C731" s="109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  <c r="AA731" s="109"/>
      <c r="AB731" s="109"/>
      <c r="AC731" s="109"/>
      <c r="AD731" s="109"/>
      <c r="AE731" s="109"/>
      <c r="AF731" s="109"/>
      <c r="AG731" s="109"/>
      <c r="AH731" s="109"/>
      <c r="AI731" s="109"/>
      <c r="AJ731" s="109"/>
      <c r="AK731" s="109"/>
      <c r="AL731" s="109"/>
      <c r="AM731" s="109"/>
      <c r="AN731" s="109"/>
      <c r="AO731" s="109"/>
      <c r="AP731" s="109"/>
      <c r="AQ731" s="109"/>
      <c r="AR731" s="109"/>
      <c r="AS731" s="109"/>
      <c r="AT731" s="109"/>
      <c r="AU731" s="109"/>
      <c r="AV731" s="109"/>
      <c r="AW731" s="109"/>
      <c r="AX731" s="109"/>
      <c r="AY731" s="109"/>
      <c r="AZ731" s="109"/>
      <c r="BA731" s="109"/>
      <c r="BB731" s="109"/>
      <c r="BC731" s="109"/>
    </row>
    <row r="732" spans="1:55" x14ac:dyDescent="0.2">
      <c r="A732" s="109"/>
      <c r="B732" s="109"/>
      <c r="C732" s="109"/>
      <c r="D732" s="109"/>
      <c r="E732" s="109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  <c r="AA732" s="109"/>
      <c r="AB732" s="109"/>
      <c r="AC732" s="109"/>
      <c r="AD732" s="109"/>
      <c r="AE732" s="109"/>
      <c r="AF732" s="109"/>
      <c r="AG732" s="109"/>
      <c r="AH732" s="109"/>
      <c r="AI732" s="109"/>
      <c r="AJ732" s="109"/>
      <c r="AK732" s="109"/>
      <c r="AL732" s="109"/>
      <c r="AM732" s="109"/>
      <c r="AN732" s="109"/>
      <c r="AO732" s="109"/>
      <c r="AP732" s="109"/>
      <c r="AQ732" s="109"/>
      <c r="AR732" s="109"/>
      <c r="AS732" s="109"/>
      <c r="AT732" s="109"/>
      <c r="AU732" s="109"/>
      <c r="AV732" s="109"/>
      <c r="AW732" s="109"/>
      <c r="AX732" s="109"/>
      <c r="AY732" s="109"/>
      <c r="AZ732" s="109"/>
      <c r="BA732" s="109"/>
      <c r="BB732" s="109"/>
      <c r="BC732" s="109"/>
    </row>
    <row r="733" spans="1:55" x14ac:dyDescent="0.2">
      <c r="A733" s="109"/>
      <c r="B733" s="109"/>
      <c r="C733" s="109"/>
      <c r="D733" s="109"/>
      <c r="E733" s="109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  <c r="AA733" s="109"/>
      <c r="AB733" s="109"/>
      <c r="AC733" s="109"/>
      <c r="AD733" s="109"/>
      <c r="AE733" s="109"/>
      <c r="AF733" s="109"/>
      <c r="AG733" s="109"/>
      <c r="AH733" s="109"/>
      <c r="AI733" s="109"/>
      <c r="AJ733" s="109"/>
      <c r="AK733" s="109"/>
      <c r="AL733" s="109"/>
      <c r="AM733" s="109"/>
      <c r="AN733" s="109"/>
      <c r="AO733" s="109"/>
      <c r="AP733" s="109"/>
      <c r="AQ733" s="109"/>
      <c r="AR733" s="109"/>
      <c r="AS733" s="109"/>
      <c r="AT733" s="109"/>
      <c r="AU733" s="109"/>
      <c r="AV733" s="109"/>
      <c r="AW733" s="109"/>
      <c r="AX733" s="109"/>
      <c r="AY733" s="109"/>
      <c r="AZ733" s="109"/>
      <c r="BA733" s="109"/>
      <c r="BB733" s="109"/>
      <c r="BC733" s="109"/>
    </row>
    <row r="734" spans="1:55" x14ac:dyDescent="0.2">
      <c r="A734" s="109"/>
      <c r="B734" s="109"/>
      <c r="C734" s="109"/>
      <c r="D734" s="109"/>
      <c r="E734" s="109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  <c r="AA734" s="109"/>
      <c r="AB734" s="109"/>
      <c r="AC734" s="109"/>
      <c r="AD734" s="109"/>
      <c r="AE734" s="109"/>
      <c r="AF734" s="109"/>
      <c r="AG734" s="109"/>
      <c r="AH734" s="109"/>
      <c r="AI734" s="109"/>
      <c r="AJ734" s="109"/>
      <c r="AK734" s="109"/>
      <c r="AL734" s="109"/>
      <c r="AM734" s="109"/>
      <c r="AN734" s="109"/>
      <c r="AO734" s="109"/>
      <c r="AP734" s="109"/>
      <c r="AQ734" s="109"/>
      <c r="AR734" s="109"/>
      <c r="AS734" s="109"/>
      <c r="AT734" s="109"/>
      <c r="AU734" s="109"/>
      <c r="AV734" s="109"/>
      <c r="AW734" s="109"/>
      <c r="AX734" s="109"/>
      <c r="AY734" s="109"/>
      <c r="AZ734" s="109"/>
      <c r="BA734" s="109"/>
      <c r="BB734" s="109"/>
      <c r="BC734" s="109"/>
    </row>
    <row r="735" spans="1:55" x14ac:dyDescent="0.2">
      <c r="A735" s="109"/>
      <c r="B735" s="109"/>
      <c r="C735" s="109"/>
      <c r="D735" s="109"/>
      <c r="E735" s="109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  <c r="AA735" s="109"/>
      <c r="AB735" s="109"/>
      <c r="AC735" s="109"/>
      <c r="AD735" s="109"/>
      <c r="AE735" s="109"/>
      <c r="AF735" s="109"/>
      <c r="AG735" s="109"/>
      <c r="AH735" s="109"/>
      <c r="AI735" s="109"/>
      <c r="AJ735" s="109"/>
      <c r="AK735" s="109"/>
      <c r="AL735" s="109"/>
      <c r="AM735" s="109"/>
      <c r="AN735" s="109"/>
      <c r="AO735" s="109"/>
      <c r="AP735" s="109"/>
      <c r="AQ735" s="109"/>
      <c r="AR735" s="109"/>
      <c r="AS735" s="109"/>
      <c r="AT735" s="109"/>
      <c r="AU735" s="109"/>
      <c r="AV735" s="109"/>
      <c r="AW735" s="109"/>
      <c r="AX735" s="109"/>
      <c r="AY735" s="109"/>
      <c r="AZ735" s="109"/>
      <c r="BA735" s="109"/>
      <c r="BB735" s="109"/>
      <c r="BC735" s="109"/>
    </row>
    <row r="736" spans="1:55" x14ac:dyDescent="0.2">
      <c r="A736" s="109"/>
      <c r="B736" s="109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  <c r="AA736" s="109"/>
      <c r="AB736" s="109"/>
      <c r="AC736" s="109"/>
      <c r="AD736" s="109"/>
      <c r="AE736" s="109"/>
      <c r="AF736" s="109"/>
      <c r="AG736" s="109"/>
      <c r="AH736" s="109"/>
      <c r="AI736" s="109"/>
      <c r="AJ736" s="109"/>
      <c r="AK736" s="109"/>
      <c r="AL736" s="109"/>
      <c r="AM736" s="109"/>
      <c r="AN736" s="109"/>
      <c r="AO736" s="109"/>
      <c r="AP736" s="109"/>
      <c r="AQ736" s="109"/>
      <c r="AR736" s="109"/>
      <c r="AS736" s="109"/>
      <c r="AT736" s="109"/>
      <c r="AU736" s="109"/>
      <c r="AV736" s="109"/>
      <c r="AW736" s="109"/>
      <c r="AX736" s="109"/>
      <c r="AY736" s="109"/>
      <c r="AZ736" s="109"/>
      <c r="BA736" s="109"/>
      <c r="BB736" s="109"/>
      <c r="BC736" s="109"/>
    </row>
    <row r="737" spans="1:55" x14ac:dyDescent="0.2">
      <c r="A737" s="109"/>
      <c r="B737" s="109"/>
      <c r="C737" s="109"/>
      <c r="D737" s="109"/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  <c r="AA737" s="109"/>
      <c r="AB737" s="109"/>
      <c r="AC737" s="109"/>
      <c r="AD737" s="109"/>
      <c r="AE737" s="109"/>
      <c r="AF737" s="109"/>
      <c r="AG737" s="109"/>
      <c r="AH737" s="109"/>
      <c r="AI737" s="109"/>
      <c r="AJ737" s="109"/>
      <c r="AK737" s="109"/>
      <c r="AL737" s="109"/>
      <c r="AM737" s="109"/>
      <c r="AN737" s="109"/>
      <c r="AO737" s="109"/>
      <c r="AP737" s="109"/>
      <c r="AQ737" s="109"/>
      <c r="AR737" s="109"/>
      <c r="AS737" s="109"/>
      <c r="AT737" s="109"/>
      <c r="AU737" s="109"/>
      <c r="AV737" s="109"/>
      <c r="AW737" s="109"/>
      <c r="AX737" s="109"/>
      <c r="AY737" s="109"/>
      <c r="AZ737" s="109"/>
      <c r="BA737" s="109"/>
      <c r="BB737" s="109"/>
      <c r="BC737" s="109"/>
    </row>
    <row r="738" spans="1:55" x14ac:dyDescent="0.2">
      <c r="A738" s="109"/>
      <c r="B738" s="109"/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  <c r="AA738" s="109"/>
      <c r="AB738" s="109"/>
      <c r="AC738" s="109"/>
      <c r="AD738" s="109"/>
      <c r="AE738" s="109"/>
      <c r="AF738" s="109"/>
      <c r="AG738" s="109"/>
      <c r="AH738" s="109"/>
      <c r="AI738" s="109"/>
      <c r="AJ738" s="109"/>
      <c r="AK738" s="109"/>
      <c r="AL738" s="109"/>
      <c r="AM738" s="109"/>
      <c r="AN738" s="109"/>
      <c r="AO738" s="109"/>
      <c r="AP738" s="109"/>
      <c r="AQ738" s="109"/>
      <c r="AR738" s="109"/>
      <c r="AS738" s="109"/>
      <c r="AT738" s="109"/>
      <c r="AU738" s="109"/>
      <c r="AV738" s="109"/>
      <c r="AW738" s="109"/>
      <c r="AX738" s="109"/>
      <c r="AY738" s="109"/>
      <c r="AZ738" s="109"/>
      <c r="BA738" s="109"/>
      <c r="BB738" s="109"/>
      <c r="BC738" s="109"/>
    </row>
    <row r="739" spans="1:55" x14ac:dyDescent="0.2">
      <c r="A739" s="109"/>
      <c r="B739" s="109"/>
      <c r="C739" s="109"/>
      <c r="D739" s="109"/>
      <c r="E739" s="109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  <c r="AA739" s="109"/>
      <c r="AB739" s="109"/>
      <c r="AC739" s="109"/>
      <c r="AD739" s="109"/>
      <c r="AE739" s="109"/>
      <c r="AF739" s="109"/>
      <c r="AG739" s="109"/>
      <c r="AH739" s="109"/>
      <c r="AI739" s="109"/>
      <c r="AJ739" s="109"/>
      <c r="AK739" s="109"/>
      <c r="AL739" s="109"/>
      <c r="AM739" s="109"/>
      <c r="AN739" s="109"/>
      <c r="AO739" s="109"/>
      <c r="AP739" s="109"/>
      <c r="AQ739" s="109"/>
      <c r="AR739" s="109"/>
      <c r="AS739" s="109"/>
      <c r="AT739" s="109"/>
      <c r="AU739" s="109"/>
      <c r="AV739" s="109"/>
      <c r="AW739" s="109"/>
      <c r="AX739" s="109"/>
      <c r="AY739" s="109"/>
      <c r="AZ739" s="109"/>
      <c r="BA739" s="109"/>
      <c r="BB739" s="109"/>
      <c r="BC739" s="109"/>
    </row>
    <row r="740" spans="1:55" x14ac:dyDescent="0.2">
      <c r="A740" s="109"/>
      <c r="B740" s="109"/>
      <c r="C740" s="109"/>
      <c r="D740" s="109"/>
      <c r="E740" s="109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  <c r="AA740" s="109"/>
      <c r="AB740" s="109"/>
      <c r="AC740" s="109"/>
      <c r="AD740" s="109"/>
      <c r="AE740" s="109"/>
      <c r="AF740" s="109"/>
      <c r="AG740" s="109"/>
      <c r="AH740" s="109"/>
      <c r="AI740" s="109"/>
      <c r="AJ740" s="109"/>
      <c r="AK740" s="109"/>
      <c r="AL740" s="109"/>
      <c r="AM740" s="109"/>
      <c r="AN740" s="109"/>
      <c r="AO740" s="109"/>
      <c r="AP740" s="109"/>
      <c r="AQ740" s="109"/>
      <c r="AR740" s="109"/>
      <c r="AS740" s="109"/>
      <c r="AT740" s="109"/>
      <c r="AU740" s="109"/>
      <c r="AV740" s="109"/>
      <c r="AW740" s="109"/>
      <c r="AX740" s="109"/>
      <c r="AY740" s="109"/>
      <c r="AZ740" s="109"/>
      <c r="BA740" s="109"/>
      <c r="BB740" s="109"/>
      <c r="BC740" s="109"/>
    </row>
    <row r="741" spans="1:55" x14ac:dyDescent="0.2">
      <c r="A741" s="109"/>
      <c r="B741" s="109"/>
      <c r="C741" s="109"/>
      <c r="D741" s="109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  <c r="AA741" s="109"/>
      <c r="AB741" s="109"/>
      <c r="AC741" s="109"/>
      <c r="AD741" s="109"/>
      <c r="AE741" s="109"/>
      <c r="AF741" s="109"/>
      <c r="AG741" s="109"/>
      <c r="AH741" s="109"/>
      <c r="AI741" s="109"/>
      <c r="AJ741" s="109"/>
      <c r="AK741" s="109"/>
      <c r="AL741" s="109"/>
      <c r="AM741" s="109"/>
      <c r="AN741" s="109"/>
      <c r="AO741" s="109"/>
      <c r="AP741" s="109"/>
      <c r="AQ741" s="109"/>
      <c r="AR741" s="109"/>
      <c r="AS741" s="109"/>
      <c r="AT741" s="109"/>
      <c r="AU741" s="109"/>
      <c r="AV741" s="109"/>
      <c r="AW741" s="109"/>
      <c r="AX741" s="109"/>
      <c r="AY741" s="109"/>
      <c r="AZ741" s="109"/>
      <c r="BA741" s="109"/>
      <c r="BB741" s="109"/>
      <c r="BC741" s="109"/>
    </row>
    <row r="742" spans="1:55" x14ac:dyDescent="0.2">
      <c r="A742" s="109"/>
      <c r="B742" s="109"/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  <c r="AA742" s="109"/>
      <c r="AB742" s="109"/>
      <c r="AC742" s="109"/>
      <c r="AD742" s="109"/>
      <c r="AE742" s="109"/>
      <c r="AF742" s="109"/>
      <c r="AG742" s="109"/>
      <c r="AH742" s="109"/>
      <c r="AI742" s="109"/>
      <c r="AJ742" s="109"/>
      <c r="AK742" s="109"/>
      <c r="AL742" s="109"/>
      <c r="AM742" s="109"/>
      <c r="AN742" s="109"/>
      <c r="AO742" s="109"/>
      <c r="AP742" s="109"/>
      <c r="AQ742" s="109"/>
      <c r="AR742" s="109"/>
      <c r="AS742" s="109"/>
      <c r="AT742" s="109"/>
      <c r="AU742" s="109"/>
      <c r="AV742" s="109"/>
      <c r="AW742" s="109"/>
      <c r="AX742" s="109"/>
      <c r="AY742" s="109"/>
      <c r="AZ742" s="109"/>
      <c r="BA742" s="109"/>
      <c r="BB742" s="109"/>
      <c r="BC742" s="109"/>
    </row>
    <row r="743" spans="1:55" x14ac:dyDescent="0.2">
      <c r="A743" s="109"/>
      <c r="B743" s="109"/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  <c r="AA743" s="109"/>
      <c r="AB743" s="109"/>
      <c r="AC743" s="109"/>
      <c r="AD743" s="109"/>
      <c r="AE743" s="109"/>
      <c r="AF743" s="109"/>
      <c r="AG743" s="109"/>
      <c r="AH743" s="109"/>
      <c r="AI743" s="109"/>
      <c r="AJ743" s="109"/>
      <c r="AK743" s="109"/>
      <c r="AL743" s="109"/>
      <c r="AM743" s="109"/>
      <c r="AN743" s="109"/>
      <c r="AO743" s="109"/>
      <c r="AP743" s="109"/>
      <c r="AQ743" s="109"/>
      <c r="AR743" s="109"/>
      <c r="AS743" s="109"/>
      <c r="AT743" s="109"/>
      <c r="AU743" s="109"/>
      <c r="AV743" s="109"/>
      <c r="AW743" s="109"/>
      <c r="AX743" s="109"/>
      <c r="AY743" s="109"/>
      <c r="AZ743" s="109"/>
      <c r="BA743" s="109"/>
      <c r="BB743" s="109"/>
      <c r="BC743" s="109"/>
    </row>
    <row r="744" spans="1:55" x14ac:dyDescent="0.2">
      <c r="A744" s="109"/>
      <c r="B744" s="109"/>
      <c r="C744" s="109"/>
      <c r="D744" s="109"/>
      <c r="E744" s="109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  <c r="AA744" s="109"/>
      <c r="AB744" s="109"/>
      <c r="AC744" s="109"/>
      <c r="AD744" s="109"/>
      <c r="AE744" s="109"/>
      <c r="AF744" s="109"/>
      <c r="AG744" s="109"/>
      <c r="AH744" s="109"/>
      <c r="AI744" s="109"/>
      <c r="AJ744" s="109"/>
      <c r="AK744" s="109"/>
      <c r="AL744" s="109"/>
      <c r="AM744" s="109"/>
      <c r="AN744" s="109"/>
      <c r="AO744" s="109"/>
      <c r="AP744" s="109"/>
      <c r="AQ744" s="109"/>
      <c r="AR744" s="109"/>
      <c r="AS744" s="109"/>
      <c r="AT744" s="109"/>
      <c r="AU744" s="109"/>
      <c r="AV744" s="109"/>
      <c r="AW744" s="109"/>
      <c r="AX744" s="109"/>
      <c r="AY744" s="109"/>
      <c r="AZ744" s="109"/>
      <c r="BA744" s="109"/>
      <c r="BB744" s="109"/>
      <c r="BC744" s="109"/>
    </row>
    <row r="745" spans="1:55" x14ac:dyDescent="0.2">
      <c r="A745" s="109"/>
      <c r="B745" s="109"/>
      <c r="C745" s="109"/>
      <c r="D745" s="109"/>
      <c r="E745" s="109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  <c r="AA745" s="109"/>
      <c r="AB745" s="109"/>
      <c r="AC745" s="109"/>
      <c r="AD745" s="109"/>
      <c r="AE745" s="109"/>
      <c r="AF745" s="109"/>
      <c r="AG745" s="109"/>
      <c r="AH745" s="109"/>
      <c r="AI745" s="109"/>
      <c r="AJ745" s="109"/>
      <c r="AK745" s="109"/>
      <c r="AL745" s="109"/>
      <c r="AM745" s="109"/>
      <c r="AN745" s="109"/>
      <c r="AO745" s="109"/>
      <c r="AP745" s="109"/>
      <c r="AQ745" s="109"/>
      <c r="AR745" s="109"/>
      <c r="AS745" s="109"/>
      <c r="AT745" s="109"/>
      <c r="AU745" s="109"/>
      <c r="AV745" s="109"/>
      <c r="AW745" s="109"/>
      <c r="AX745" s="109"/>
      <c r="AY745" s="109"/>
      <c r="AZ745" s="109"/>
      <c r="BA745" s="109"/>
      <c r="BB745" s="109"/>
      <c r="BC745" s="109"/>
    </row>
    <row r="746" spans="1:55" x14ac:dyDescent="0.2">
      <c r="A746" s="109"/>
      <c r="B746" s="109"/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  <c r="AA746" s="109"/>
      <c r="AB746" s="109"/>
      <c r="AC746" s="109"/>
      <c r="AD746" s="109"/>
      <c r="AE746" s="109"/>
      <c r="AF746" s="109"/>
      <c r="AG746" s="109"/>
      <c r="AH746" s="109"/>
      <c r="AI746" s="109"/>
      <c r="AJ746" s="109"/>
      <c r="AK746" s="109"/>
      <c r="AL746" s="109"/>
      <c r="AM746" s="109"/>
      <c r="AN746" s="109"/>
      <c r="AO746" s="109"/>
      <c r="AP746" s="109"/>
      <c r="AQ746" s="109"/>
      <c r="AR746" s="109"/>
      <c r="AS746" s="109"/>
      <c r="AT746" s="109"/>
      <c r="AU746" s="109"/>
      <c r="AV746" s="109"/>
      <c r="AW746" s="109"/>
      <c r="AX746" s="109"/>
      <c r="AY746" s="109"/>
      <c r="AZ746" s="109"/>
      <c r="BA746" s="109"/>
      <c r="BB746" s="109"/>
      <c r="BC746" s="109"/>
    </row>
    <row r="747" spans="1:55" x14ac:dyDescent="0.2">
      <c r="A747" s="109"/>
      <c r="B747" s="109"/>
      <c r="C747" s="109"/>
      <c r="D747" s="109"/>
      <c r="E747" s="109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  <c r="AA747" s="109"/>
      <c r="AB747" s="109"/>
      <c r="AC747" s="109"/>
      <c r="AD747" s="109"/>
      <c r="AE747" s="109"/>
      <c r="AF747" s="109"/>
      <c r="AG747" s="109"/>
      <c r="AH747" s="109"/>
      <c r="AI747" s="109"/>
      <c r="AJ747" s="109"/>
      <c r="AK747" s="109"/>
      <c r="AL747" s="109"/>
      <c r="AM747" s="109"/>
      <c r="AN747" s="109"/>
      <c r="AO747" s="109"/>
      <c r="AP747" s="109"/>
      <c r="AQ747" s="109"/>
      <c r="AR747" s="109"/>
      <c r="AS747" s="109"/>
      <c r="AT747" s="109"/>
      <c r="AU747" s="109"/>
      <c r="AV747" s="109"/>
      <c r="AW747" s="109"/>
      <c r="AX747" s="109"/>
      <c r="AY747" s="109"/>
      <c r="AZ747" s="109"/>
      <c r="BA747" s="109"/>
      <c r="BB747" s="109"/>
      <c r="BC747" s="109"/>
    </row>
    <row r="748" spans="1:55" x14ac:dyDescent="0.2">
      <c r="A748" s="109"/>
      <c r="B748" s="109"/>
      <c r="C748" s="109"/>
      <c r="D748" s="109"/>
      <c r="E748" s="109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  <c r="AA748" s="109"/>
      <c r="AB748" s="109"/>
      <c r="AC748" s="109"/>
      <c r="AD748" s="109"/>
      <c r="AE748" s="109"/>
      <c r="AF748" s="109"/>
      <c r="AG748" s="109"/>
      <c r="AH748" s="109"/>
      <c r="AI748" s="109"/>
      <c r="AJ748" s="109"/>
      <c r="AK748" s="109"/>
      <c r="AL748" s="109"/>
      <c r="AM748" s="109"/>
      <c r="AN748" s="109"/>
      <c r="AO748" s="109"/>
      <c r="AP748" s="109"/>
      <c r="AQ748" s="109"/>
      <c r="AR748" s="109"/>
      <c r="AS748" s="109"/>
      <c r="AT748" s="109"/>
      <c r="AU748" s="109"/>
      <c r="AV748" s="109"/>
      <c r="AW748" s="109"/>
      <c r="AX748" s="109"/>
      <c r="AY748" s="109"/>
      <c r="AZ748" s="109"/>
      <c r="BA748" s="109"/>
      <c r="BB748" s="109"/>
      <c r="BC748" s="109"/>
    </row>
    <row r="749" spans="1:55" x14ac:dyDescent="0.2">
      <c r="A749" s="109"/>
      <c r="B749" s="109"/>
      <c r="C749" s="109"/>
      <c r="D749" s="109"/>
      <c r="E749" s="109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  <c r="AA749" s="109"/>
      <c r="AB749" s="109"/>
      <c r="AC749" s="109"/>
      <c r="AD749" s="109"/>
      <c r="AE749" s="109"/>
      <c r="AF749" s="109"/>
      <c r="AG749" s="109"/>
      <c r="AH749" s="109"/>
      <c r="AI749" s="109"/>
      <c r="AJ749" s="109"/>
      <c r="AK749" s="109"/>
      <c r="AL749" s="109"/>
      <c r="AM749" s="109"/>
      <c r="AN749" s="109"/>
      <c r="AO749" s="109"/>
      <c r="AP749" s="109"/>
      <c r="AQ749" s="109"/>
      <c r="AR749" s="109"/>
      <c r="AS749" s="109"/>
      <c r="AT749" s="109"/>
      <c r="AU749" s="109"/>
      <c r="AV749" s="109"/>
      <c r="AW749" s="109"/>
      <c r="AX749" s="109"/>
      <c r="AY749" s="109"/>
      <c r="AZ749" s="109"/>
      <c r="BA749" s="109"/>
      <c r="BB749" s="109"/>
      <c r="BC749" s="109"/>
    </row>
  </sheetData>
  <sheetProtection password="C75E" sheet="1"/>
  <mergeCells count="5">
    <mergeCell ref="B8:C8"/>
    <mergeCell ref="D8:E8"/>
    <mergeCell ref="F8:G8"/>
    <mergeCell ref="A30:G30"/>
    <mergeCell ref="A25:G25"/>
  </mergeCells>
  <hyperlinks>
    <hyperlink ref="A2" location="Etusivu!A1" tooltip="Tästä pääset etusivulle" display="Etusivu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12</vt:i4>
      </vt:variant>
    </vt:vector>
  </HeadingPairs>
  <TitlesOfParts>
    <vt:vector size="25" baseType="lpstr">
      <vt:lpstr>Etusivu</vt:lpstr>
      <vt:lpstr>Pyöreät kanavat ja osat</vt:lpstr>
      <vt:lpstr>Suorakaidekanavat</vt:lpstr>
      <vt:lpstr>Venttiilit</vt:lpstr>
      <vt:lpstr>Ilmanvaihtokoneet</vt:lpstr>
      <vt:lpstr>Pienkojeet</vt:lpstr>
      <vt:lpstr>Aksiaalipuhaltimet</vt:lpstr>
      <vt:lpstr>Lyhenteitä</vt:lpstr>
      <vt:lpstr>Urakkatunnit</vt:lpstr>
      <vt:lpstr>Välipohjat</vt:lpstr>
      <vt:lpstr>NHK muuttuu kesken urakan</vt:lpstr>
      <vt:lpstr>Etumieslisä</vt:lpstr>
      <vt:lpstr>Jakolista</vt:lpstr>
      <vt:lpstr>Aksiaalipuhaltimet!Tulostusalue</vt:lpstr>
      <vt:lpstr>Etumieslisä!Tulostusalue</vt:lpstr>
      <vt:lpstr>Etusivu!Tulostusalue</vt:lpstr>
      <vt:lpstr>Ilmanvaihtokoneet!Tulostusalue</vt:lpstr>
      <vt:lpstr>Jakolista!Tulostusalue</vt:lpstr>
      <vt:lpstr>'NHK muuttuu kesken urakan'!Tulostusalue</vt:lpstr>
      <vt:lpstr>Pienkojeet!Tulostusalue</vt:lpstr>
      <vt:lpstr>'Pyöreät kanavat ja osat'!Tulostusalue</vt:lpstr>
      <vt:lpstr>Suorakaidekanavat!Tulostusalue</vt:lpstr>
      <vt:lpstr>Urakkatunnit!Tulostusalue</vt:lpstr>
      <vt:lpstr>Venttiilit!Tulostusalue</vt:lpstr>
      <vt:lpstr>Välipohjat!Tulostusalue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IV- käsinlaskenta</dc:subject>
  <dc:creator>Räsänen Niko</dc:creator>
  <cp:lastModifiedBy>Niko Räsänen</cp:lastModifiedBy>
  <cp:lastPrinted>2024-05-28T10:45:02Z</cp:lastPrinted>
  <dcterms:created xsi:type="dcterms:W3CDTF">2003-02-04T05:32:59Z</dcterms:created>
  <dcterms:modified xsi:type="dcterms:W3CDTF">2025-08-12T11:02:49Z</dcterms:modified>
</cp:coreProperties>
</file>